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505B0593-3F39-4750-9F40-7D375B895798}" xr6:coauthVersionLast="45" xr6:coauthVersionMax="45" xr10:uidLastSave="{00000000-0000-0000-0000-000000000000}"/>
  <bookViews>
    <workbookView xWindow="0" yWindow="600" windowWidth="28800" windowHeight="15600" activeTab="3" xr2:uid="{00000000-000D-0000-FFFF-FFFF00000000}"/>
  </bookViews>
  <sheets>
    <sheet name="Прием" sheetId="1" r:id="rId1"/>
    <sheet name="Отдача ТСО" sheetId="2" r:id="rId2"/>
    <sheet name="Отдача ЭСО" sheetId="3" r:id="rId3"/>
    <sheet name="Отдача ГП" sheetId="4" r:id="rId4"/>
    <sheet name="Потери ГП" sheetId="5" r:id="rId5"/>
  </sheets>
  <definedNames>
    <definedName name="_xlnm.Print_Area" localSheetId="3">'Отдача ГП'!$A$1:$L$18</definedName>
    <definedName name="_xlnm.Print_Area" localSheetId="1">'Отдача ТСО'!$A$1:$L$18</definedName>
    <definedName name="_xlnm.Print_Area" localSheetId="2">'Отдача ЭСО'!$A$1:$P$18</definedName>
    <definedName name="_xlnm.Print_Area" localSheetId="4">'Потери ГП'!$A$1:$H$18</definedName>
    <definedName name="_xlnm.Print_Area" localSheetId="0">Прием!$A$1:$N$18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5" l="1"/>
  <c r="F17" i="5"/>
  <c r="E17" i="5"/>
  <c r="D17" i="5" l="1"/>
  <c r="C17" i="5"/>
  <c r="B17" i="5"/>
  <c r="Q17" i="3"/>
  <c r="O17" i="1"/>
  <c r="H16" i="5" l="1"/>
  <c r="G16" i="5"/>
  <c r="F16" i="5"/>
  <c r="E16" i="5"/>
  <c r="Q16" i="3" l="1"/>
  <c r="O16" i="1"/>
  <c r="J6" i="5" l="1"/>
  <c r="J7" i="5"/>
  <c r="J8" i="5"/>
  <c r="J9" i="5"/>
  <c r="J10" i="5"/>
  <c r="J11" i="5"/>
  <c r="J13" i="5"/>
  <c r="J14" i="5"/>
  <c r="J15" i="5"/>
  <c r="G15" i="5" l="1"/>
  <c r="G14" i="5"/>
  <c r="F15" i="5"/>
  <c r="F14" i="5"/>
  <c r="E15" i="5"/>
  <c r="E14" i="5"/>
  <c r="O15" i="1" l="1"/>
  <c r="O14" i="1"/>
  <c r="G13" i="4" l="1"/>
  <c r="F13" i="4"/>
  <c r="M13" i="4" s="1"/>
  <c r="O13" i="1"/>
  <c r="M12" i="4"/>
  <c r="M11" i="4"/>
  <c r="G12" i="4"/>
  <c r="F12" i="4"/>
  <c r="O12" i="1"/>
  <c r="F12" i="5" l="1"/>
  <c r="G12" i="5"/>
  <c r="E12" i="5"/>
  <c r="D12" i="5"/>
  <c r="C12" i="5"/>
  <c r="B12" i="5"/>
  <c r="G13" i="5"/>
  <c r="F13" i="5"/>
  <c r="E13" i="5"/>
  <c r="D13" i="5" l="1"/>
  <c r="C13" i="5"/>
  <c r="B13" i="5"/>
  <c r="H6" i="5" l="1"/>
  <c r="G8" i="5" l="1"/>
  <c r="F8" i="5"/>
  <c r="E8" i="5"/>
  <c r="D8" i="5"/>
  <c r="C8" i="5"/>
  <c r="B8" i="5"/>
  <c r="G11" i="5" l="1"/>
  <c r="F11" i="5"/>
  <c r="E11" i="5"/>
  <c r="D11" i="5"/>
  <c r="C11" i="5"/>
  <c r="B11" i="5"/>
  <c r="G10" i="5"/>
  <c r="F10" i="5"/>
  <c r="E10" i="5"/>
  <c r="D10" i="5"/>
  <c r="C10" i="5"/>
  <c r="B10" i="5"/>
  <c r="G9" i="5"/>
  <c r="F9" i="5"/>
  <c r="E9" i="5"/>
  <c r="M9" i="4"/>
  <c r="D9" i="5"/>
  <c r="C9" i="5"/>
  <c r="B9" i="5"/>
  <c r="M10" i="4"/>
  <c r="O11" i="1"/>
  <c r="O10" i="1"/>
  <c r="O9" i="1" l="1"/>
  <c r="G7" i="5" l="1"/>
  <c r="F7" i="5"/>
  <c r="E7" i="5"/>
  <c r="D7" i="5"/>
  <c r="C7" i="5"/>
  <c r="B7" i="5"/>
  <c r="G6" i="5" l="1"/>
  <c r="F6" i="5"/>
  <c r="E6" i="5"/>
  <c r="D6" i="5"/>
  <c r="C6" i="5"/>
  <c r="B6" i="5"/>
  <c r="H8" i="4" l="1"/>
  <c r="G8" i="4"/>
  <c r="F8" i="4"/>
  <c r="O8" i="1"/>
  <c r="H7" i="5" l="1"/>
  <c r="H7" i="4"/>
  <c r="G7" i="4"/>
  <c r="F7" i="4"/>
  <c r="O7" i="1"/>
  <c r="G6" i="4" l="1"/>
  <c r="F6" i="4"/>
  <c r="H6" i="4"/>
  <c r="O18" i="3"/>
  <c r="P18" i="3"/>
  <c r="O6" i="1"/>
  <c r="N18" i="1"/>
  <c r="B18" i="5" l="1"/>
  <c r="E18" i="5"/>
  <c r="H15" i="5" l="1"/>
  <c r="H14" i="5"/>
  <c r="H13" i="5"/>
  <c r="H12" i="5"/>
  <c r="H11" i="5"/>
  <c r="H10" i="5"/>
  <c r="H9" i="5"/>
  <c r="H8" i="5"/>
  <c r="H17" i="5"/>
  <c r="H18" i="5" l="1"/>
  <c r="G18" i="5"/>
  <c r="F18" i="5"/>
  <c r="M16" i="4" l="1"/>
  <c r="M15" i="2" l="1"/>
  <c r="J18" i="4" l="1"/>
  <c r="M7" i="4"/>
  <c r="I7" i="5" s="1"/>
  <c r="M8" i="4"/>
  <c r="M14" i="4"/>
  <c r="M15" i="4"/>
  <c r="M17" i="4"/>
  <c r="M6" i="4"/>
  <c r="L18" i="4"/>
  <c r="D18" i="2"/>
  <c r="C18" i="2"/>
  <c r="B18" i="2"/>
  <c r="M7" i="2" l="1"/>
  <c r="M8" i="2"/>
  <c r="M9" i="2"/>
  <c r="M10" i="2"/>
  <c r="M11" i="2"/>
  <c r="M12" i="2"/>
  <c r="M13" i="2"/>
  <c r="M14" i="2"/>
  <c r="M16" i="2"/>
  <c r="M17" i="2"/>
  <c r="O18" i="1"/>
  <c r="M6" i="2"/>
  <c r="L18" i="2"/>
  <c r="K18" i="2"/>
  <c r="M18" i="1"/>
  <c r="L18" i="1"/>
  <c r="K18" i="1"/>
  <c r="J18" i="1"/>
  <c r="I17" i="5" l="1"/>
  <c r="J17" i="5" s="1"/>
  <c r="I16" i="5" l="1"/>
  <c r="J16" i="5" s="1"/>
  <c r="Q15" i="3"/>
  <c r="I15" i="5" s="1"/>
  <c r="Q13" i="3" l="1"/>
  <c r="I13" i="5" s="1"/>
  <c r="Q14" i="3"/>
  <c r="I14" i="5" s="1"/>
  <c r="Q6" i="3" l="1"/>
  <c r="I6" i="5" s="1"/>
  <c r="Q12" i="3"/>
  <c r="I12" i="5" s="1"/>
  <c r="J12" i="5" s="1"/>
  <c r="Q11" i="3" l="1"/>
  <c r="I11" i="5" s="1"/>
  <c r="B18" i="4" l="1"/>
  <c r="Q10" i="3"/>
  <c r="I10" i="5" s="1"/>
  <c r="Q9" i="3" l="1"/>
  <c r="I9" i="5" s="1"/>
  <c r="Q8" i="3"/>
  <c r="N18" i="3"/>
  <c r="L18" i="3"/>
  <c r="H18" i="3"/>
  <c r="I18" i="3"/>
  <c r="F18" i="3"/>
  <c r="G18" i="3"/>
  <c r="I18" i="1"/>
  <c r="J18" i="3" l="1"/>
  <c r="Q7" i="3"/>
  <c r="I8" i="5"/>
  <c r="J18" i="2" l="1"/>
  <c r="B18" i="3" l="1"/>
  <c r="C18" i="3"/>
  <c r="M18" i="3"/>
  <c r="D18" i="5" l="1"/>
  <c r="C18" i="5"/>
  <c r="K18" i="4"/>
  <c r="I18" i="4"/>
  <c r="H18" i="4"/>
  <c r="G18" i="4"/>
  <c r="F18" i="4"/>
  <c r="E18" i="4"/>
  <c r="D18" i="4"/>
  <c r="C18" i="4"/>
  <c r="K18" i="3"/>
  <c r="E18" i="3"/>
  <c r="D18" i="3"/>
  <c r="I18" i="2" l="1"/>
  <c r="H18" i="2"/>
  <c r="G18" i="2"/>
  <c r="F18" i="2"/>
  <c r="E18" i="2"/>
  <c r="H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<sst xmlns="http://schemas.openxmlformats.org/spreadsheetml/2006/main" count="193" uniqueCount="78">
  <si>
    <t xml:space="preserve">Январь </t>
  </si>
  <si>
    <t xml:space="preserve">Февраль </t>
  </si>
  <si>
    <t xml:space="preserve">Март </t>
  </si>
  <si>
    <t xml:space="preserve">Апрель 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</si>
  <si>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</si>
  <si>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</si>
  <si>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</si>
  <si>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</si>
  <si>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</si>
  <si>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</si>
  <si>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</si>
  <si>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</si>
  <si>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</si>
  <si>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Оказание услуг по содержанию эл. сетей    МВт.ч</t>
  </si>
  <si>
    <t>ВН</t>
  </si>
  <si>
    <t>СН1</t>
  </si>
  <si>
    <t>СН2</t>
  </si>
  <si>
    <t xml:space="preserve">СН2 </t>
  </si>
  <si>
    <t>ООО "РСК сети"  оказали   услуги по передаче Э/Э  МУП ЭС г. Зеленогорск</t>
  </si>
  <si>
    <t>Февраль</t>
  </si>
  <si>
    <t>Март</t>
  </si>
  <si>
    <t>Апрель</t>
  </si>
  <si>
    <t>НН</t>
  </si>
  <si>
    <t>Услуги по передаче Э/Э   МВт.ч.</t>
  </si>
  <si>
    <t>Услуги по передаче Э/Э   МВт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</si>
  <si>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</si>
  <si>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</si>
  <si>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</si>
  <si>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</si>
  <si>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</si>
  <si>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</si>
  <si>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</si>
  <si>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</si>
  <si>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</si>
  <si>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</si>
  <si>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</si>
  <si>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</si>
  <si>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прирав. к нас</t>
  </si>
  <si>
    <t>ООО "РСК сети" оказали услуги по передаче Э/Э  ПАО "Красноярскэнергосбыт" (1-но став.)</t>
  </si>
  <si>
    <t>ООО "РСК сети" оказали услуги по передаче Э/Э  ПАО "Красноярскэнергосбыт"(2-х став.)</t>
  </si>
  <si>
    <t>ПАО "Красноярскэнергосбыт" оказали услуги по передаче Э/Э  ООО "РСК сети"</t>
  </si>
  <si>
    <t>Потери МВт.ч.</t>
  </si>
  <si>
    <t>ООО "РСК сети"  оказали   услуги по передаче Э/Э  ООО "РСК сбыт"</t>
  </si>
  <si>
    <t xml:space="preserve"> ООО "РСК сети"  оказали   услуги по передаче Э/Э  ООО "ПрофСервисТрейд" (2-х став.)</t>
  </si>
  <si>
    <t xml:space="preserve"> ООО "РСК сети"  оказали   услуги по передаче Э/Э  ООО "ПрофСервисТрейд" (1-но став.)</t>
  </si>
  <si>
    <t>Филиал ПАО "Россети Сибирь"-"Красноярскэнерго" оказали услуги по передаче Э/Э ООО "РСК сети"</t>
  </si>
  <si>
    <t>АО "Красноярская ТЭЦ-1" оказали услуги по передаче Э/Э ООО "РСК сети"</t>
  </si>
  <si>
    <t xml:space="preserve"> ООО "РСК сети" оказали услуги по передаче Э/Э ООО "Крассети"</t>
  </si>
  <si>
    <t>ООО "РСК сети"  оказали   услуги по передаче Э/Э  ООО "Главэнергосбыт" 
(2-х став.)</t>
  </si>
  <si>
    <t>ООО "РСК сети"  оказали   услуги по передаче Э/Э  ООО "Главэнергосбыт" 
(1-х став.)</t>
  </si>
  <si>
    <t>нас. 
соцнорм</t>
  </si>
  <si>
    <t>нас. 
сверх
соцнорм</t>
  </si>
  <si>
    <t xml:space="preserve"> ООО "РСК сети" оказали услуги по передаче Э/Э АО "Мосэнергосбыт" (2-х став)</t>
  </si>
  <si>
    <t>фактические 
потери по балансу</t>
  </si>
  <si>
    <t>АО "Оборонэнерго" оказали услуги по передаче Э/Э ООО "РСК сети"</t>
  </si>
  <si>
    <t>ООО "Городские электрические сети" оказали услуги по передаче Э/Э ООО "РСК сети"</t>
  </si>
  <si>
    <t>ООО "Крассети" оказали услуги по передаче Э/Э ООО "РСК сети"</t>
  </si>
  <si>
    <t>Оказание услуг по содержанию 
эл. сетей МВт.ч</t>
  </si>
  <si>
    <t>Оказание услуг по 
содержанию 
эл. сетей МВт.ч</t>
  </si>
  <si>
    <t>ООО "РСК сети" оказали услуги по передаче Э/Э  ООО "ЕнисейСетьСервис"</t>
  </si>
  <si>
    <t>ООО "РСК сети" оказали услуги 
по передаче Э/Э филиалу 
ПАО "Россети Сибирь"-
"Красноярскэнерго"</t>
  </si>
  <si>
    <t xml:space="preserve"> ООО "РСК сети" оказали услуги по передаче Э/Э ООО "ДОКэнерго"</t>
  </si>
  <si>
    <t>Месяц</t>
  </si>
  <si>
    <t>Филиал ПАО "Россети" - Магистральные электрические сети Сибири оказали услуги по передаче Э/Э ООО "РСК сети"</t>
  </si>
  <si>
    <t xml:space="preserve"> ООО "РСК сети"  оказали   услуги по передаче Э/Э  АО "КрасЭКо"</t>
  </si>
  <si>
    <t xml:space="preserve">Месяц    </t>
  </si>
  <si>
    <t>Потери Руб.</t>
  </si>
  <si>
    <t>Прием электрической энергии в сети ООО "РСК сети" за 2023 год</t>
  </si>
  <si>
    <t>ООО "ЕСС" оказали услуги по передаче Э/Э ООО "РСК сети"</t>
  </si>
  <si>
    <t>ООО ЭСК "Энергия" оказали услуги по передаче Э/Э ООО "РСК сети"</t>
  </si>
  <si>
    <t>ОАО "Красцветмет" оказали услуги по передаче Э/Э ООО "РСК сети"</t>
  </si>
  <si>
    <t>ОАО "РЖД" оказали услуги по передаче Э/Э ООО "РСК сети"</t>
  </si>
  <si>
    <t>Отдача электрической энергии в сети ТСО из сетей ООО "РСК сети" за 2023 год</t>
  </si>
  <si>
    <t xml:space="preserve"> ООО "РСК сети" оказали услуги по передаче Э/Э ООО "ЭСС"</t>
  </si>
  <si>
    <t xml:space="preserve"> ООО "РСК сети" оказали услуги по передаче Э/Э ООО "КрасКом" (2-х став)</t>
  </si>
  <si>
    <t>Потери электрической энергии в сетях ООО "РСК сети" за 2023 год</t>
  </si>
  <si>
    <t>Отдача электрической энергии в сети ГП из сетей ООО "РСК сети" за 2023 год</t>
  </si>
  <si>
    <t>Отдача электрической энергии в сети ЭСО из сетей ООО "РСК сети"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</si>
</sst>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"/>
    <numFmt numFmtId="166" formatCode="#,##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5">
    <xf numFmtId="0" fontId="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7">
    <xf numFmtId="0" fontId="0" fillId="0" borderId="0" xfId="0"/>
    <xf numFmtId="164" fontId="11" fillId="0" borderId="8" xfId="0" applyNumberFormat="1" applyFont="1" applyFill="1" applyBorder="1" applyAlignment="1">
      <alignment horizontal="center"/>
    </xf>
    <xf numFmtId="164" fontId="11" fillId="0" borderId="9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164" fontId="11" fillId="0" borderId="11" xfId="0" applyNumberFormat="1" applyFont="1" applyFill="1" applyBorder="1" applyAlignment="1">
      <alignment horizontal="center"/>
    </xf>
    <xf numFmtId="164" fontId="11" fillId="0" borderId="12" xfId="0" applyNumberFormat="1" applyFont="1" applyFill="1" applyBorder="1" applyAlignment="1">
      <alignment horizontal="center"/>
    </xf>
    <xf numFmtId="164" fontId="12" fillId="0" borderId="14" xfId="0" applyNumberFormat="1" applyFont="1" applyFill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164" fontId="11" fillId="0" borderId="13" xfId="0" applyNumberFormat="1" applyFont="1" applyFill="1" applyBorder="1" applyAlignment="1">
      <alignment horizontal="center"/>
    </xf>
    <xf numFmtId="164" fontId="12" fillId="0" borderId="19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13" fillId="0" borderId="40" xfId="0" applyFont="1" applyFill="1" applyBorder="1"/>
    <xf numFmtId="164" fontId="11" fillId="0" borderId="28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3" fillId="0" borderId="3" xfId="0" applyFont="1" applyFill="1" applyBorder="1"/>
    <xf numFmtId="0" fontId="13" fillId="0" borderId="4" xfId="0" applyFont="1" applyFill="1" applyBorder="1"/>
    <xf numFmtId="164" fontId="14" fillId="0" borderId="30" xfId="0" applyNumberFormat="1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164" fontId="14" fillId="0" borderId="31" xfId="0" applyNumberFormat="1" applyFont="1" applyFill="1" applyBorder="1" applyAlignment="1">
      <alignment horizontal="center"/>
    </xf>
    <xf numFmtId="164" fontId="14" fillId="0" borderId="24" xfId="0" applyNumberFormat="1" applyFont="1" applyFill="1" applyBorder="1" applyAlignment="1">
      <alignment horizontal="center"/>
    </xf>
    <xf numFmtId="164" fontId="11" fillId="0" borderId="40" xfId="0" applyNumberFormat="1" applyFont="1" applyFill="1" applyBorder="1" applyAlignment="1">
      <alignment horizontal="center"/>
    </xf>
    <xf numFmtId="164" fontId="14" fillId="0" borderId="37" xfId="0" applyNumberFormat="1" applyFont="1" applyFill="1" applyBorder="1" applyAlignment="1">
      <alignment horizontal="center"/>
    </xf>
    <xf numFmtId="164" fontId="14" fillId="0" borderId="38" xfId="0" applyNumberFormat="1" applyFont="1" applyFill="1" applyBorder="1" applyAlignment="1">
      <alignment horizontal="center"/>
    </xf>
    <xf numFmtId="164" fontId="14" fillId="0" borderId="21" xfId="0" applyNumberFormat="1" applyFont="1" applyFill="1" applyBorder="1" applyAlignment="1">
      <alignment horizontal="center"/>
    </xf>
    <xf numFmtId="0" fontId="0" fillId="0" borderId="0" xfId="0" applyFill="1"/>
    <xf numFmtId="0" fontId="10" fillId="0" borderId="19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3" fillId="0" borderId="25" xfId="0" applyFont="1" applyFill="1" applyBorder="1"/>
    <xf numFmtId="0" fontId="13" fillId="0" borderId="23" xfId="0" applyFont="1" applyFill="1" applyBorder="1"/>
    <xf numFmtId="164" fontId="10" fillId="0" borderId="44" xfId="0" applyNumberFormat="1" applyFont="1" applyFill="1" applyBorder="1" applyAlignment="1">
      <alignment horizontal="center"/>
    </xf>
    <xf numFmtId="164" fontId="10" fillId="0" borderId="16" xfId="0" applyNumberFormat="1" applyFont="1" applyFill="1" applyBorder="1" applyAlignment="1">
      <alignment horizontal="center"/>
    </xf>
    <xf numFmtId="164" fontId="10" fillId="0" borderId="45" xfId="0" applyNumberFormat="1" applyFont="1" applyFill="1" applyBorder="1" applyAlignment="1">
      <alignment horizontal="center"/>
    </xf>
    <xf numFmtId="0" fontId="9" fillId="0" borderId="0" xfId="0" applyFont="1" applyFill="1"/>
    <xf numFmtId="0" fontId="7" fillId="0" borderId="6" xfId="0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/>
    </xf>
    <xf numFmtId="164" fontId="11" fillId="0" borderId="30" xfId="0" applyNumberFormat="1" applyFont="1" applyFill="1" applyBorder="1" applyAlignment="1">
      <alignment horizontal="center"/>
    </xf>
    <xf numFmtId="164" fontId="11" fillId="0" borderId="43" xfId="0" applyNumberFormat="1" applyFont="1" applyFill="1" applyBorder="1" applyAlignment="1">
      <alignment horizontal="center"/>
    </xf>
    <xf numFmtId="164" fontId="11" fillId="0" borderId="24" xfId="0" applyNumberFormat="1" applyFont="1" applyFill="1" applyBorder="1" applyAlignment="1">
      <alignment horizontal="center"/>
    </xf>
    <xf numFmtId="0" fontId="10" fillId="0" borderId="23" xfId="0" applyFont="1" applyFill="1" applyBorder="1"/>
    <xf numFmtId="164" fontId="10" fillId="0" borderId="46" xfId="0" applyNumberFormat="1" applyFont="1" applyFill="1" applyBorder="1" applyAlignment="1">
      <alignment horizontal="center"/>
    </xf>
    <xf numFmtId="164" fontId="12" fillId="0" borderId="45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3" fillId="0" borderId="39" xfId="0" applyFont="1" applyFill="1" applyBorder="1"/>
    <xf numFmtId="164" fontId="14" fillId="0" borderId="37" xfId="0" applyNumberFormat="1" applyFont="1" applyFill="1" applyBorder="1" applyAlignment="1">
      <alignment horizontal="center" vertical="center" wrapText="1"/>
    </xf>
    <xf numFmtId="164" fontId="14" fillId="0" borderId="42" xfId="0" applyNumberFormat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164" fontId="0" fillId="0" borderId="0" xfId="0" applyNumberFormat="1" applyFill="1"/>
    <xf numFmtId="165" fontId="11" fillId="0" borderId="8" xfId="0" applyNumberFormat="1" applyFont="1" applyFill="1" applyBorder="1" applyAlignment="1">
      <alignment horizontal="center"/>
    </xf>
    <xf numFmtId="0" fontId="13" fillId="0" borderId="41" xfId="0" applyFont="1" applyFill="1" applyBorder="1"/>
    <xf numFmtId="0" fontId="11" fillId="0" borderId="1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0" fillId="0" borderId="6" xfId="0" applyFont="1" applyFill="1" applyBorder="1"/>
    <xf numFmtId="164" fontId="12" fillId="0" borderId="32" xfId="0" applyNumberFormat="1" applyFont="1" applyFill="1" applyBorder="1" applyAlignment="1">
      <alignment horizontal="center"/>
    </xf>
    <xf numFmtId="164" fontId="12" fillId="0" borderId="2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4" fontId="10" fillId="0" borderId="25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164" fontId="14" fillId="0" borderId="48" xfId="0" applyNumberFormat="1" applyFont="1" applyFill="1" applyBorder="1" applyAlignment="1">
      <alignment horizontal="center" vertical="center" wrapText="1"/>
    </xf>
    <xf numFmtId="164" fontId="11" fillId="0" borderId="31" xfId="0" applyNumberFormat="1" applyFont="1" applyFill="1" applyBorder="1" applyAlignment="1">
      <alignment horizontal="center"/>
    </xf>
    <xf numFmtId="164" fontId="11" fillId="0" borderId="49" xfId="0" applyNumberFormat="1" applyFont="1" applyFill="1" applyBorder="1" applyAlignment="1">
      <alignment horizontal="center"/>
    </xf>
    <xf numFmtId="4" fontId="10" fillId="0" borderId="14" xfId="0" applyNumberFormat="1" applyFont="1" applyFill="1" applyBorder="1"/>
    <xf numFmtId="164" fontId="12" fillId="0" borderId="18" xfId="0" applyNumberFormat="1" applyFont="1" applyFill="1" applyBorder="1" applyAlignment="1">
      <alignment horizontal="center"/>
    </xf>
    <xf numFmtId="0" fontId="10" fillId="0" borderId="0" xfId="0" applyFont="1" applyFill="1"/>
    <xf numFmtId="0" fontId="10" fillId="0" borderId="17" xfId="0" applyFont="1" applyFill="1" applyBorder="1" applyAlignment="1">
      <alignment horizontal="center"/>
    </xf>
    <xf numFmtId="4" fontId="8" fillId="0" borderId="4" xfId="0" applyNumberFormat="1" applyFont="1" applyFill="1" applyBorder="1"/>
    <xf numFmtId="4" fontId="8" fillId="0" borderId="5" xfId="0" applyNumberFormat="1" applyFont="1" applyFill="1" applyBorder="1"/>
    <xf numFmtId="4" fontId="9" fillId="0" borderId="6" xfId="0" applyNumberFormat="1" applyFont="1" applyFill="1" applyBorder="1"/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center"/>
    </xf>
    <xf numFmtId="164" fontId="11" fillId="0" borderId="51" xfId="0" applyNumberFormat="1" applyFont="1" applyFill="1" applyBorder="1" applyAlignment="1">
      <alignment horizontal="center"/>
    </xf>
    <xf numFmtId="164" fontId="11" fillId="0" borderId="52" xfId="0" applyNumberFormat="1" applyFont="1" applyFill="1" applyBorder="1" applyAlignment="1">
      <alignment horizontal="center"/>
    </xf>
    <xf numFmtId="164" fontId="11" fillId="0" borderId="53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164" fontId="11" fillId="0" borderId="54" xfId="0" applyNumberFormat="1" applyFont="1" applyFill="1" applyBorder="1" applyAlignment="1">
      <alignment horizontal="center"/>
    </xf>
    <xf numFmtId="164" fontId="11" fillId="0" borderId="29" xfId="0" applyNumberFormat="1" applyFont="1" applyFill="1" applyBorder="1" applyAlignment="1">
      <alignment horizontal="center"/>
    </xf>
    <xf numFmtId="164" fontId="11" fillId="0" borderId="47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164" fontId="11" fillId="0" borderId="22" xfId="0" applyNumberFormat="1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 vertical="center" wrapText="1"/>
    </xf>
    <xf numFmtId="164" fontId="11" fillId="0" borderId="56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 vertical="center" wrapText="1"/>
    </xf>
    <xf numFmtId="164" fontId="14" fillId="0" borderId="22" xfId="0" applyNumberFormat="1" applyFont="1" applyFill="1" applyBorder="1" applyAlignment="1">
      <alignment horizontal="center"/>
    </xf>
    <xf numFmtId="164" fontId="14" fillId="0" borderId="28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4" fontId="8" fillId="0" borderId="57" xfId="0" applyNumberFormat="1" applyFont="1" applyFill="1" applyBorder="1"/>
    <xf numFmtId="4" fontId="8" fillId="0" borderId="25" xfId="0" applyNumberFormat="1" applyFont="1" applyFill="1" applyBorder="1"/>
    <xf numFmtId="4" fontId="7" fillId="0" borderId="58" xfId="0" applyNumberFormat="1" applyFont="1" applyFill="1" applyBorder="1" applyAlignment="1">
      <alignment horizontal="center" vertical="center"/>
    </xf>
    <xf numFmtId="165" fontId="11" fillId="0" borderId="37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4" fontId="11" fillId="0" borderId="8" xfId="4" applyNumberFormat="1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165" fontId="13" fillId="0" borderId="4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1" fillId="0" borderId="4" xfId="6" applyNumberFormat="1" applyFont="1" applyBorder="1" applyAlignment="1">
      <alignment horizontal="center" vertical="center"/>
    </xf>
    <xf numFmtId="164" fontId="11" fillId="0" borderId="41" xfId="0" applyNumberFormat="1" applyFont="1" applyFill="1" applyBorder="1" applyAlignment="1">
      <alignment horizontal="center"/>
    </xf>
    <xf numFmtId="164" fontId="11" fillId="0" borderId="8" xfId="9" applyNumberFormat="1" applyFont="1" applyFill="1" applyBorder="1" applyAlignment="1">
      <alignment horizontal="center" vertical="center"/>
    </xf>
    <xf numFmtId="164" fontId="11" fillId="0" borderId="28" xfId="9" applyNumberFormat="1" applyFont="1" applyFill="1" applyBorder="1" applyAlignment="1">
      <alignment horizontal="center" vertical="center"/>
    </xf>
    <xf numFmtId="164" fontId="11" fillId="0" borderId="29" xfId="4" applyNumberFormat="1" applyFont="1" applyBorder="1" applyAlignment="1">
      <alignment horizontal="center" vertical="center"/>
    </xf>
    <xf numFmtId="164" fontId="11" fillId="0" borderId="4" xfId="10" applyNumberFormat="1" applyFont="1" applyFill="1" applyBorder="1" applyAlignment="1">
      <alignment horizontal="center" vertical="center"/>
    </xf>
    <xf numFmtId="164" fontId="11" fillId="0" borderId="4" xfId="5" applyNumberFormat="1" applyFont="1" applyFill="1" applyBorder="1" applyAlignment="1">
      <alignment horizontal="center"/>
    </xf>
    <xf numFmtId="164" fontId="11" fillId="0" borderId="9" xfId="10" applyNumberFormat="1" applyFont="1" applyFill="1" applyBorder="1" applyAlignment="1">
      <alignment horizontal="center" vertical="center"/>
    </xf>
    <xf numFmtId="164" fontId="11" fillId="0" borderId="9" xfId="10" applyNumberFormat="1" applyFont="1" applyBorder="1" applyAlignment="1">
      <alignment horizontal="center" vertical="center"/>
    </xf>
    <xf numFmtId="164" fontId="11" fillId="0" borderId="8" xfId="10" applyNumberFormat="1" applyFont="1" applyBorder="1" applyAlignment="1">
      <alignment horizontal="center" vertical="center"/>
    </xf>
    <xf numFmtId="164" fontId="11" fillId="0" borderId="4" xfId="10" applyNumberFormat="1" applyFont="1" applyBorder="1" applyAlignment="1">
      <alignment horizontal="center" vertical="center"/>
    </xf>
    <xf numFmtId="164" fontId="11" fillId="0" borderId="29" xfId="10" applyNumberFormat="1" applyFont="1" applyBorder="1" applyAlignment="1">
      <alignment horizontal="center" vertical="center"/>
    </xf>
    <xf numFmtId="164" fontId="11" fillId="0" borderId="52" xfId="5" applyNumberFormat="1" applyFont="1" applyFill="1" applyBorder="1" applyAlignment="1">
      <alignment horizontal="center"/>
    </xf>
    <xf numFmtId="164" fontId="11" fillId="0" borderId="57" xfId="0" applyNumberFormat="1" applyFont="1" applyFill="1" applyBorder="1" applyAlignment="1">
      <alignment horizontal="center"/>
    </xf>
    <xf numFmtId="164" fontId="11" fillId="0" borderId="9" xfId="10" applyNumberFormat="1" applyFont="1" applyFill="1" applyBorder="1" applyAlignment="1">
      <alignment horizontal="center" vertical="center"/>
    </xf>
    <xf numFmtId="164" fontId="11" fillId="0" borderId="9" xfId="10" applyNumberFormat="1" applyFont="1" applyBorder="1" applyAlignment="1">
      <alignment horizontal="center" vertical="center"/>
    </xf>
    <xf numFmtId="164" fontId="11" fillId="0" borderId="4" xfId="10" applyNumberFormat="1" applyFont="1" applyBorder="1" applyAlignment="1">
      <alignment horizontal="center" vertical="center"/>
    </xf>
    <xf numFmtId="164" fontId="11" fillId="0" borderId="25" xfId="0" applyNumberFormat="1" applyFont="1" applyFill="1" applyBorder="1" applyAlignment="1">
      <alignment horizontal="center"/>
    </xf>
    <xf numFmtId="164" fontId="11" fillId="0" borderId="40" xfId="5" applyNumberFormat="1" applyFont="1" applyFill="1" applyBorder="1" applyAlignment="1">
      <alignment horizontal="center"/>
    </xf>
    <xf numFmtId="164" fontId="11" fillId="0" borderId="8" xfId="10" applyNumberFormat="1" applyFont="1" applyBorder="1" applyAlignment="1">
      <alignment horizontal="center" vertical="center"/>
    </xf>
    <xf numFmtId="164" fontId="11" fillId="0" borderId="28" xfId="10" applyNumberFormat="1" applyFont="1" applyBorder="1" applyAlignment="1">
      <alignment horizontal="center" vertical="center"/>
    </xf>
    <xf numFmtId="164" fontId="11" fillId="0" borderId="9" xfId="10" applyNumberFormat="1" applyFont="1" applyFill="1" applyBorder="1" applyAlignment="1">
      <alignment horizontal="center" vertical="center"/>
    </xf>
    <xf numFmtId="164" fontId="11" fillId="0" borderId="9" xfId="10" applyNumberFormat="1" applyFont="1" applyBorder="1" applyAlignment="1">
      <alignment horizontal="center" vertical="center"/>
    </xf>
    <xf numFmtId="164" fontId="11" fillId="0" borderId="40" xfId="10" applyNumberFormat="1" applyFont="1" applyBorder="1" applyAlignment="1">
      <alignment horizontal="center" vertical="center"/>
    </xf>
    <xf numFmtId="164" fontId="11" fillId="0" borderId="4" xfId="10" applyNumberFormat="1" applyFont="1" applyBorder="1" applyAlignment="1">
      <alignment horizontal="center" vertical="center"/>
    </xf>
    <xf numFmtId="164" fontId="11" fillId="0" borderId="9" xfId="10" applyNumberFormat="1" applyFont="1" applyFill="1" applyBorder="1" applyAlignment="1">
      <alignment horizontal="center" vertical="center"/>
    </xf>
    <xf numFmtId="164" fontId="11" fillId="0" borderId="9" xfId="10" applyNumberFormat="1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/>
    </xf>
    <xf numFmtId="164" fontId="14" fillId="0" borderId="59" xfId="1" applyNumberFormat="1" applyFont="1" applyBorder="1" applyAlignment="1">
      <alignment horizontal="center" vertical="center"/>
    </xf>
    <xf numFmtId="164" fontId="11" fillId="0" borderId="22" xfId="1" applyNumberFormat="1" applyFont="1" applyBorder="1" applyAlignment="1">
      <alignment horizontal="center" vertical="center"/>
    </xf>
    <xf numFmtId="164" fontId="14" fillId="0" borderId="60" xfId="0" applyNumberFormat="1" applyFont="1" applyFill="1" applyBorder="1" applyAlignment="1">
      <alignment horizontal="center"/>
    </xf>
    <xf numFmtId="164" fontId="12" fillId="0" borderId="61" xfId="0" applyNumberFormat="1" applyFont="1" applyFill="1" applyBorder="1" applyAlignment="1">
      <alignment horizontal="center"/>
    </xf>
    <xf numFmtId="164" fontId="14" fillId="0" borderId="62" xfId="1" applyNumberFormat="1" applyFont="1" applyBorder="1" applyAlignment="1">
      <alignment horizontal="center" vertical="center"/>
    </xf>
    <xf numFmtId="164" fontId="11" fillId="0" borderId="10" xfId="1" applyNumberFormat="1" applyFont="1" applyBorder="1" applyAlignment="1">
      <alignment horizontal="center" vertical="center"/>
    </xf>
    <xf numFmtId="165" fontId="11" fillId="0" borderId="25" xfId="0" applyNumberFormat="1" applyFont="1" applyFill="1" applyBorder="1" applyAlignment="1">
      <alignment horizontal="center"/>
    </xf>
    <xf numFmtId="4" fontId="14" fillId="0" borderId="57" xfId="0" applyNumberFormat="1" applyFont="1" applyFill="1" applyBorder="1" applyAlignment="1">
      <alignment horizontal="center"/>
    </xf>
    <xf numFmtId="4" fontId="14" fillId="0" borderId="4" xfId="0" applyNumberFormat="1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center"/>
    </xf>
    <xf numFmtId="4" fontId="14" fillId="0" borderId="5" xfId="0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4" fontId="14" fillId="0" borderId="37" xfId="0" applyNumberFormat="1" applyFont="1" applyFill="1" applyBorder="1" applyAlignment="1">
      <alignment horizontal="center"/>
    </xf>
    <xf numFmtId="4" fontId="14" fillId="0" borderId="38" xfId="0" applyNumberFormat="1" applyFont="1" applyFill="1" applyBorder="1" applyAlignment="1">
      <alignment horizontal="center"/>
    </xf>
    <xf numFmtId="4" fontId="14" fillId="0" borderId="39" xfId="0" applyNumberFormat="1" applyFont="1" applyFill="1" applyBorder="1" applyAlignment="1">
      <alignment horizontal="center"/>
    </xf>
    <xf numFmtId="4" fontId="14" fillId="0" borderId="22" xfId="0" applyNumberFormat="1" applyFont="1" applyFill="1" applyBorder="1" applyAlignment="1">
      <alignment horizontal="center"/>
    </xf>
    <xf numFmtId="4" fontId="14" fillId="0" borderId="28" xfId="0" applyNumberFormat="1" applyFont="1" applyFill="1" applyBorder="1" applyAlignment="1">
      <alignment horizontal="center"/>
    </xf>
    <xf numFmtId="4" fontId="14" fillId="0" borderId="40" xfId="0" applyNumberFormat="1" applyFont="1" applyFill="1" applyBorder="1" applyAlignment="1">
      <alignment horizontal="center"/>
    </xf>
    <xf numFmtId="4" fontId="11" fillId="0" borderId="22" xfId="0" applyNumberFormat="1" applyFont="1" applyFill="1" applyBorder="1" applyAlignment="1">
      <alignment horizontal="center"/>
    </xf>
    <xf numFmtId="4" fontId="11" fillId="0" borderId="28" xfId="0" applyNumberFormat="1" applyFont="1" applyFill="1" applyBorder="1" applyAlignment="1">
      <alignment horizontal="center"/>
    </xf>
    <xf numFmtId="4" fontId="11" fillId="0" borderId="40" xfId="0" applyNumberFormat="1" applyFont="1" applyFill="1" applyBorder="1" applyAlignment="1">
      <alignment horizontal="center"/>
    </xf>
    <xf numFmtId="4" fontId="11" fillId="0" borderId="8" xfId="0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>
      <alignment horizontal="center"/>
    </xf>
    <xf numFmtId="4" fontId="14" fillId="0" borderId="30" xfId="0" applyNumberFormat="1" applyFont="1" applyFill="1" applyBorder="1" applyAlignment="1">
      <alignment horizontal="center"/>
    </xf>
    <xf numFmtId="4" fontId="14" fillId="0" borderId="31" xfId="0" applyNumberFormat="1" applyFont="1" applyFill="1" applyBorder="1" applyAlignment="1">
      <alignment horizontal="center"/>
    </xf>
    <xf numFmtId="4" fontId="14" fillId="0" borderId="49" xfId="0" applyNumberFormat="1" applyFont="1" applyFill="1" applyBorder="1" applyAlignment="1">
      <alignment horizontal="center"/>
    </xf>
    <xf numFmtId="4" fontId="10" fillId="0" borderId="44" xfId="0" applyNumberFormat="1" applyFont="1" applyFill="1" applyBorder="1" applyAlignment="1">
      <alignment horizontal="center"/>
    </xf>
    <xf numFmtId="4" fontId="10" fillId="0" borderId="16" xfId="0" applyNumberFormat="1" applyFont="1" applyFill="1" applyBorder="1" applyAlignment="1">
      <alignment horizontal="center"/>
    </xf>
    <xf numFmtId="4" fontId="10" fillId="0" borderId="61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3" fillId="0" borderId="0" xfId="0" applyFont="1" applyFill="1" applyBorder="1"/>
    <xf numFmtId="0" fontId="13" fillId="0" borderId="2" xfId="0" applyFont="1" applyFill="1" applyBorder="1"/>
    <xf numFmtId="0" fontId="0" fillId="0" borderId="0" xfId="0" applyFill="1" applyBorder="1" applyAlignment="1">
      <alignment horizontal="center"/>
    </xf>
    <xf numFmtId="4" fontId="8" fillId="0" borderId="3" xfId="0" applyNumberFormat="1" applyFont="1" applyFill="1" applyBorder="1"/>
    <xf numFmtId="4" fontId="10" fillId="0" borderId="58" xfId="0" applyNumberFormat="1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164" fontId="0" fillId="0" borderId="0" xfId="0" applyNumberFormat="1" applyFill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164" fontId="11" fillId="0" borderId="8" xfId="13" applyNumberFormat="1" applyFont="1" applyFill="1" applyBorder="1" applyAlignment="1">
      <alignment horizontal="center" vertical="center"/>
    </xf>
    <xf numFmtId="164" fontId="11" fillId="0" borderId="28" xfId="13" applyNumberFormat="1" applyFont="1" applyFill="1" applyBorder="1" applyAlignment="1">
      <alignment horizontal="center" vertical="center"/>
    </xf>
    <xf numFmtId="164" fontId="11" fillId="0" borderId="9" xfId="18" applyNumberFormat="1" applyFont="1" applyBorder="1" applyAlignment="1">
      <alignment horizontal="center" vertical="center"/>
    </xf>
    <xf numFmtId="164" fontId="11" fillId="0" borderId="8" xfId="18" applyNumberFormat="1" applyFont="1" applyBorder="1" applyAlignment="1">
      <alignment horizontal="center" vertical="center"/>
    </xf>
    <xf numFmtId="164" fontId="11" fillId="0" borderId="28" xfId="18" applyNumberFormat="1" applyFont="1" applyBorder="1" applyAlignment="1">
      <alignment horizontal="center" vertical="center"/>
    </xf>
    <xf numFmtId="0" fontId="11" fillId="0" borderId="8" xfId="18" applyFont="1" applyFill="1" applyBorder="1" applyAlignment="1">
      <alignment horizontal="center" vertical="center" wrapText="1"/>
    </xf>
    <xf numFmtId="165" fontId="11" fillId="0" borderId="8" xfId="18" applyNumberFormat="1" applyFont="1" applyFill="1" applyBorder="1" applyAlignment="1">
      <alignment horizontal="center"/>
    </xf>
    <xf numFmtId="0" fontId="11" fillId="0" borderId="40" xfId="18" applyFont="1" applyFill="1" applyBorder="1" applyAlignment="1">
      <alignment horizontal="center" vertical="center" wrapText="1"/>
    </xf>
    <xf numFmtId="165" fontId="11" fillId="0" borderId="40" xfId="18" applyNumberFormat="1" applyFont="1" applyFill="1" applyBorder="1" applyAlignment="1">
      <alignment horizontal="center"/>
    </xf>
    <xf numFmtId="164" fontId="11" fillId="0" borderId="5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4" fontId="7" fillId="0" borderId="26" xfId="0" applyNumberFormat="1" applyFont="1" applyFill="1" applyBorder="1" applyAlignment="1">
      <alignment horizontal="center" vertical="center"/>
    </xf>
    <xf numFmtId="4" fontId="7" fillId="0" borderId="27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66" fontId="11" fillId="0" borderId="51" xfId="1" applyNumberFormat="1" applyFont="1" applyBorder="1" applyAlignment="1">
      <alignment horizontal="center" vertical="center"/>
    </xf>
    <xf numFmtId="166" fontId="11" fillId="0" borderId="42" xfId="1" applyNumberFormat="1" applyFont="1" applyBorder="1" applyAlignment="1">
      <alignment horizontal="center" vertical="center"/>
    </xf>
    <xf numFmtId="166" fontId="11" fillId="0" borderId="39" xfId="1" applyNumberFormat="1" applyFont="1" applyBorder="1" applyAlignment="1">
      <alignment horizontal="center" vertical="center"/>
    </xf>
    <xf numFmtId="166" fontId="14" fillId="0" borderId="59" xfId="1" applyNumberFormat="1" applyFont="1" applyBorder="1" applyAlignment="1">
      <alignment horizontal="center" vertical="center"/>
    </xf>
    <xf numFmtId="166" fontId="14" fillId="0" borderId="62" xfId="1" applyNumberFormat="1" applyFont="1" applyBorder="1" applyAlignment="1">
      <alignment horizontal="center" vertical="center"/>
    </xf>
    <xf numFmtId="166" fontId="11" fillId="0" borderId="52" xfId="1" applyNumberFormat="1" applyFont="1" applyBorder="1" applyAlignment="1">
      <alignment horizontal="center" vertical="center"/>
    </xf>
    <xf numFmtId="166" fontId="11" fillId="0" borderId="28" xfId="1" applyNumberFormat="1" applyFont="1" applyBorder="1" applyAlignment="1">
      <alignment horizontal="center" vertical="center"/>
    </xf>
    <xf numFmtId="166" fontId="11" fillId="0" borderId="40" xfId="1" applyNumberFormat="1" applyFont="1" applyBorder="1" applyAlignment="1">
      <alignment horizontal="center" vertical="center"/>
    </xf>
    <xf numFmtId="166" fontId="11" fillId="0" borderId="22" xfId="1" applyNumberFormat="1" applyFont="1" applyBorder="1" applyAlignment="1">
      <alignment horizontal="center" vertical="center"/>
    </xf>
    <xf numFmtId="166" fontId="11" fillId="0" borderId="10" xfId="1" applyNumberFormat="1" applyFont="1" applyBorder="1" applyAlignment="1">
      <alignment horizontal="center" vertical="center"/>
    </xf>
    <xf numFmtId="166" fontId="11" fillId="0" borderId="8" xfId="0" applyNumberFormat="1" applyFont="1" applyFill="1" applyBorder="1" applyAlignment="1">
      <alignment horizontal="center"/>
    </xf>
    <xf numFmtId="166" fontId="11" fillId="0" borderId="28" xfId="0" applyNumberFormat="1" applyFont="1" applyFill="1" applyBorder="1" applyAlignment="1">
      <alignment horizontal="center"/>
    </xf>
    <xf numFmtId="166" fontId="11" fillId="0" borderId="40" xfId="0" applyNumberFormat="1" applyFont="1" applyFill="1" applyBorder="1" applyAlignment="1">
      <alignment horizontal="center"/>
    </xf>
    <xf numFmtId="166" fontId="11" fillId="0" borderId="22" xfId="0" applyNumberFormat="1" applyFont="1" applyFill="1" applyBorder="1" applyAlignment="1">
      <alignment horizontal="center"/>
    </xf>
    <xf numFmtId="166" fontId="11" fillId="0" borderId="10" xfId="0" applyNumberFormat="1" applyFont="1" applyFill="1" applyBorder="1" applyAlignment="1">
      <alignment horizontal="center"/>
    </xf>
    <xf numFmtId="166" fontId="11" fillId="0" borderId="52" xfId="2" applyNumberFormat="1" applyFont="1" applyBorder="1" applyAlignment="1">
      <alignment horizontal="center" vertical="center"/>
    </xf>
    <xf numFmtId="166" fontId="11" fillId="0" borderId="28" xfId="2" applyNumberFormat="1" applyFont="1" applyBorder="1" applyAlignment="1">
      <alignment horizontal="center" vertical="center"/>
    </xf>
    <xf numFmtId="166" fontId="11" fillId="0" borderId="40" xfId="2" applyNumberFormat="1" applyFont="1" applyBorder="1" applyAlignment="1">
      <alignment horizontal="center" vertical="center"/>
    </xf>
    <xf numFmtId="166" fontId="11" fillId="0" borderId="30" xfId="0" applyNumberFormat="1" applyFont="1" applyFill="1" applyBorder="1" applyAlignment="1">
      <alignment horizontal="center"/>
    </xf>
    <xf numFmtId="166" fontId="11" fillId="0" borderId="43" xfId="0" applyNumberFormat="1" applyFont="1" applyFill="1" applyBorder="1" applyAlignment="1">
      <alignment horizontal="center"/>
    </xf>
    <xf numFmtId="166" fontId="11" fillId="0" borderId="49" xfId="0" applyNumberFormat="1" applyFont="1" applyFill="1" applyBorder="1" applyAlignment="1">
      <alignment horizontal="center"/>
    </xf>
    <xf numFmtId="166" fontId="14" fillId="0" borderId="60" xfId="0" applyNumberFormat="1" applyFont="1" applyFill="1" applyBorder="1" applyAlignment="1">
      <alignment horizontal="center"/>
    </xf>
    <xf numFmtId="166" fontId="14" fillId="0" borderId="24" xfId="0" applyNumberFormat="1" applyFont="1" applyFill="1" applyBorder="1" applyAlignment="1">
      <alignment horizontal="center"/>
    </xf>
  </cellXfs>
  <cellStyles count="25">
    <cellStyle name="Обычный" xfId="0" builtinId="0"/>
    <cellStyle name="Обычный 2" xfId="1" xr:uid="{00000000-0005-0000-0000-000001000000}"/>
    <cellStyle name="Обычный 2 2" xfId="6" xr:uid="{00000000-0005-0000-0000-000002000000}"/>
    <cellStyle name="Обычный 2 2 2" xfId="18" xr:uid="{5D08025F-B9C3-42B5-9F81-940CC90BEAEC}"/>
    <cellStyle name="Обычный 2 3" xfId="10" xr:uid="{24D5C6FC-7794-4132-9279-E1CB4C11C9A5}"/>
    <cellStyle name="Обычный 2 3 2" xfId="22" xr:uid="{CF6B218B-9F40-42DF-A2C0-349FB7B3715F}"/>
    <cellStyle name="Обычный 2 4" xfId="14" xr:uid="{6A5A4F0D-FB16-49E6-B0AE-01DFB5BECADA}"/>
    <cellStyle name="Обычный 3" xfId="2" xr:uid="{00000000-0005-0000-0000-000003000000}"/>
    <cellStyle name="Обычный 3 2" xfId="7" xr:uid="{00000000-0005-0000-0000-000004000000}"/>
    <cellStyle name="Обычный 3 2 2" xfId="19" xr:uid="{6C1C6C83-E0BF-4D8F-9440-D80AA7A09641}"/>
    <cellStyle name="Обычный 3 3" xfId="11" xr:uid="{F63B06D9-CD7C-4DB3-A546-F3815446D315}"/>
    <cellStyle name="Обычный 3 3 2" xfId="23" xr:uid="{FBF801EC-CCA1-4450-883F-E881E293BD6A}"/>
    <cellStyle name="Обычный 3 4" xfId="15" xr:uid="{A2C0FC34-7388-44BF-9224-1D6E5586E57D}"/>
    <cellStyle name="Обычный 4" xfId="3" xr:uid="{00000000-0005-0000-0000-000005000000}"/>
    <cellStyle name="Обычный 4 2" xfId="8" xr:uid="{00000000-0005-0000-0000-000006000000}"/>
    <cellStyle name="Обычный 4 2 2" xfId="20" xr:uid="{93DF9915-3B19-4381-A766-C7716503ABC1}"/>
    <cellStyle name="Обычный 4 3" xfId="12" xr:uid="{58FC56D6-B8F6-4840-842E-3D2994BE9131}"/>
    <cellStyle name="Обычный 4 3 2" xfId="24" xr:uid="{C9055A4A-B391-4FAD-B93C-5A78BCE83CEC}"/>
    <cellStyle name="Обычный 4 4" xfId="16" xr:uid="{771862F8-9A4C-4B30-A5D4-04C908D8CE1D}"/>
    <cellStyle name="Обычный 5" xfId="5" xr:uid="{00000000-0005-0000-0000-000007000000}"/>
    <cellStyle name="Обычный 6" xfId="4" xr:uid="{00000000-0005-0000-0000-000008000000}"/>
    <cellStyle name="Обычный 6 2" xfId="17" xr:uid="{59C2B8A1-FF72-4DDA-9132-B15F76E475D1}"/>
    <cellStyle name="Обычный 7" xfId="9" xr:uid="{B863293C-3F8D-425F-916D-4BDBAA07FEB3}"/>
    <cellStyle name="Обычный 7 2" xfId="21" xr:uid="{8766644B-4822-40BB-B9BA-22AB0269030C}"/>
    <cellStyle name="Обычный 8" xfId="13" xr:uid="{3B64A4BE-FC88-4203-BCFF-25A514B95F45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view="pageBreakPreview" topLeftCell="J1" zoomScaleNormal="100" zoomScaleSheetLayoutView="100" workbookViewId="0">
      <selection activeCell="L29" sqref="L29"/>
    </sheetView>
  </sheetViews>
  <sheetFormatPr defaultRowHeight="15" x14ac:dyDescent="0.25"/>
  <cols>
    <col min="1" max="1" width="13.85546875" style="25" customWidth="1"/>
    <col min="2" max="2" width="14.7109375" style="25" customWidth="1"/>
    <col min="3" max="3" width="11.7109375" style="25" customWidth="1"/>
    <col min="4" max="4" width="12.85546875" style="25" customWidth="1"/>
    <col min="5" max="5" width="15.28515625" style="25" customWidth="1"/>
    <col min="6" max="6" width="15.85546875" style="25" customWidth="1"/>
    <col min="7" max="7" width="23.28515625" style="25" customWidth="1"/>
    <col min="8" max="9" width="24.85546875" style="25" customWidth="1"/>
    <col min="10" max="10" width="23.140625" style="25" bestFit="1" customWidth="1"/>
    <col min="11" max="11" width="27.5703125" style="25" bestFit="1" customWidth="1"/>
    <col min="12" max="12" width="21.85546875" style="25" bestFit="1" customWidth="1"/>
    <col min="13" max="13" width="20" style="25" bestFit="1" customWidth="1"/>
    <col min="14" max="14" width="20" style="25" customWidth="1"/>
    <col min="15" max="15" width="11.28515625" style="25" hidden="1" customWidth="1"/>
    <col min="16" max="16" width="10" style="25" bestFit="1" customWidth="1"/>
    <col min="17" max="16384" width="9.140625" style="25"/>
  </cols>
  <sheetData>
    <row r="1" spans="1:15" ht="19.5" x14ac:dyDescent="0.35">
      <c r="A1" s="199" t="s">
        <v>67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72"/>
    </row>
    <row r="2" spans="1:15" ht="15.75" thickBot="1" x14ac:dyDescent="0.3">
      <c r="E2" s="208"/>
      <c r="F2" s="208"/>
      <c r="G2" s="175"/>
      <c r="H2" s="175"/>
      <c r="I2" s="175"/>
      <c r="J2" s="175"/>
      <c r="K2" s="175"/>
      <c r="L2" s="175"/>
      <c r="M2" s="175"/>
      <c r="N2" s="175"/>
    </row>
    <row r="3" spans="1:15" s="72" customFormat="1" ht="48.75" thickBot="1" x14ac:dyDescent="0.25">
      <c r="A3" s="200" t="s">
        <v>62</v>
      </c>
      <c r="B3" s="206" t="s">
        <v>45</v>
      </c>
      <c r="C3" s="204"/>
      <c r="D3" s="207"/>
      <c r="E3" s="206" t="s">
        <v>63</v>
      </c>
      <c r="F3" s="207"/>
      <c r="G3" s="197" t="s">
        <v>46</v>
      </c>
      <c r="H3" s="10" t="s">
        <v>68</v>
      </c>
      <c r="I3" s="198" t="s">
        <v>70</v>
      </c>
      <c r="J3" s="10" t="s">
        <v>54</v>
      </c>
      <c r="K3" s="10" t="s">
        <v>55</v>
      </c>
      <c r="L3" s="198" t="s">
        <v>56</v>
      </c>
      <c r="M3" s="10" t="s">
        <v>69</v>
      </c>
      <c r="N3" s="10" t="s">
        <v>71</v>
      </c>
    </row>
    <row r="4" spans="1:15" s="72" customFormat="1" ht="37.5" customHeight="1" thickBot="1" x14ac:dyDescent="0.25">
      <c r="A4" s="201"/>
      <c r="B4" s="203" t="s">
        <v>13</v>
      </c>
      <c r="C4" s="204"/>
      <c r="D4" s="205"/>
      <c r="E4" s="203" t="s">
        <v>13</v>
      </c>
      <c r="F4" s="205"/>
      <c r="G4" s="108" t="s">
        <v>13</v>
      </c>
      <c r="H4" s="10" t="s">
        <v>13</v>
      </c>
      <c r="I4" s="109" t="s">
        <v>13</v>
      </c>
      <c r="J4" s="10" t="s">
        <v>13</v>
      </c>
      <c r="K4" s="10" t="s">
        <v>13</v>
      </c>
      <c r="L4" s="186" t="s">
        <v>13</v>
      </c>
      <c r="M4" s="10" t="s">
        <v>13</v>
      </c>
      <c r="N4" s="10" t="s">
        <v>13</v>
      </c>
    </row>
    <row r="5" spans="1:15" ht="15.75" thickBot="1" x14ac:dyDescent="0.3">
      <c r="A5" s="202"/>
      <c r="B5" s="65" t="s">
        <v>14</v>
      </c>
      <c r="C5" s="73" t="s">
        <v>15</v>
      </c>
      <c r="D5" s="66" t="s">
        <v>16</v>
      </c>
      <c r="E5" s="65" t="s">
        <v>14</v>
      </c>
      <c r="F5" s="66" t="s">
        <v>16</v>
      </c>
      <c r="G5" s="73" t="s">
        <v>16</v>
      </c>
      <c r="H5" s="111" t="s">
        <v>16</v>
      </c>
      <c r="I5" s="30" t="s">
        <v>14</v>
      </c>
      <c r="J5" s="111" t="s">
        <v>16</v>
      </c>
      <c r="K5" s="111" t="s">
        <v>16</v>
      </c>
      <c r="L5" s="30" t="s">
        <v>16</v>
      </c>
      <c r="M5" s="66" t="s">
        <v>16</v>
      </c>
      <c r="N5" s="66" t="s">
        <v>16</v>
      </c>
    </row>
    <row r="6" spans="1:15" x14ac:dyDescent="0.25">
      <c r="A6" s="179" t="s">
        <v>0</v>
      </c>
      <c r="B6" s="1">
        <v>15741.413</v>
      </c>
      <c r="C6" s="2">
        <v>541.16800000000001</v>
      </c>
      <c r="D6" s="3">
        <v>5847.9459999999999</v>
      </c>
      <c r="E6" s="1">
        <v>9211.5049999999992</v>
      </c>
      <c r="F6" s="3">
        <v>1408.9179999999999</v>
      </c>
      <c r="G6" s="2">
        <v>405.154</v>
      </c>
      <c r="H6" s="92">
        <v>355.63200000000001</v>
      </c>
      <c r="I6" s="127">
        <v>0</v>
      </c>
      <c r="J6" s="92">
        <v>63.087000000000003</v>
      </c>
      <c r="K6" s="127">
        <v>1.4710000000000001</v>
      </c>
      <c r="L6" s="2">
        <v>119.327</v>
      </c>
      <c r="M6" s="127">
        <v>37.122</v>
      </c>
      <c r="N6" s="127">
        <v>146.989</v>
      </c>
      <c r="O6" s="54">
        <f t="shared" ref="O6:O11" si="0">SUM(B6:N6)</f>
        <v>33879.731999999996</v>
      </c>
    </row>
    <row r="7" spans="1:15" x14ac:dyDescent="0.25">
      <c r="A7" s="74" t="s">
        <v>1</v>
      </c>
      <c r="B7" s="1">
        <v>14598.433000000001</v>
      </c>
      <c r="C7" s="2">
        <v>533.30799999999999</v>
      </c>
      <c r="D7" s="3">
        <v>4888.0889999999999</v>
      </c>
      <c r="E7" s="1">
        <v>8607.8189999999995</v>
      </c>
      <c r="F7" s="3">
        <v>1236.4459999999999</v>
      </c>
      <c r="G7" s="2">
        <v>397.709</v>
      </c>
      <c r="H7" s="92">
        <v>330.51600000000002</v>
      </c>
      <c r="I7" s="92">
        <v>0</v>
      </c>
      <c r="J7" s="92">
        <v>64.905000000000001</v>
      </c>
      <c r="K7" s="92">
        <v>1.3180000000000001</v>
      </c>
      <c r="L7" s="2">
        <v>111.666</v>
      </c>
      <c r="M7" s="92">
        <v>24.818000000000001</v>
      </c>
      <c r="N7" s="92">
        <v>123.048</v>
      </c>
      <c r="O7" s="54">
        <f t="shared" si="0"/>
        <v>30918.074999999997</v>
      </c>
    </row>
    <row r="8" spans="1:15" x14ac:dyDescent="0.25">
      <c r="A8" s="74" t="s">
        <v>2</v>
      </c>
      <c r="B8" s="1">
        <v>14043.111000000001</v>
      </c>
      <c r="C8" s="2">
        <v>510.75700000000001</v>
      </c>
      <c r="D8" s="3">
        <v>5008.9629999999997</v>
      </c>
      <c r="E8" s="1">
        <v>9943.44</v>
      </c>
      <c r="F8" s="3">
        <v>1130.788</v>
      </c>
      <c r="G8" s="2">
        <v>357.09</v>
      </c>
      <c r="H8" s="92">
        <v>357.94600000000003</v>
      </c>
      <c r="I8" s="92">
        <v>0</v>
      </c>
      <c r="J8" s="92">
        <v>52.972999999999999</v>
      </c>
      <c r="K8" s="92">
        <v>1.4410000000000001</v>
      </c>
      <c r="L8" s="2">
        <v>109.866</v>
      </c>
      <c r="M8" s="92">
        <v>22.532</v>
      </c>
      <c r="N8" s="92">
        <v>135.01</v>
      </c>
      <c r="O8" s="54">
        <f t="shared" si="0"/>
        <v>31673.917000000001</v>
      </c>
    </row>
    <row r="9" spans="1:15" x14ac:dyDescent="0.25">
      <c r="A9" s="74" t="s">
        <v>3</v>
      </c>
      <c r="B9" s="1">
        <v>13303.16</v>
      </c>
      <c r="C9" s="2">
        <v>447.41</v>
      </c>
      <c r="D9" s="3">
        <v>3887.6280000000002</v>
      </c>
      <c r="E9" s="1">
        <v>9913.0319999999992</v>
      </c>
      <c r="F9" s="3">
        <v>1287.9380000000001</v>
      </c>
      <c r="G9" s="2">
        <v>328.51900000000001</v>
      </c>
      <c r="H9" s="92">
        <v>335.42099999999999</v>
      </c>
      <c r="I9" s="92">
        <v>0</v>
      </c>
      <c r="J9" s="92">
        <v>60.957000000000001</v>
      </c>
      <c r="K9" s="92">
        <v>1.3740000000000001</v>
      </c>
      <c r="L9" s="2">
        <v>114.06</v>
      </c>
      <c r="M9" s="92">
        <v>18.584</v>
      </c>
      <c r="N9" s="92">
        <v>128.94399999999999</v>
      </c>
      <c r="O9" s="54">
        <f t="shared" si="0"/>
        <v>29827.026999999995</v>
      </c>
    </row>
    <row r="10" spans="1:15" x14ac:dyDescent="0.25">
      <c r="A10" s="74" t="s">
        <v>4</v>
      </c>
      <c r="B10" s="1">
        <v>12202.378000000001</v>
      </c>
      <c r="C10" s="2">
        <v>385.09699999999998</v>
      </c>
      <c r="D10" s="3">
        <v>4425.9009999999998</v>
      </c>
      <c r="E10" s="110">
        <v>9829.8430000000008</v>
      </c>
      <c r="F10" s="118">
        <v>1137.838</v>
      </c>
      <c r="G10" s="2">
        <v>294.97500000000002</v>
      </c>
      <c r="H10" s="92">
        <v>346.13299999999998</v>
      </c>
      <c r="I10" s="114">
        <v>0</v>
      </c>
      <c r="J10" s="92">
        <v>56.216999999999999</v>
      </c>
      <c r="K10" s="92">
        <v>1.4590000000000001</v>
      </c>
      <c r="L10" s="2">
        <v>104.68899999999999</v>
      </c>
      <c r="M10" s="92">
        <v>15.676</v>
      </c>
      <c r="N10" s="92">
        <v>117.254</v>
      </c>
      <c r="O10" s="54">
        <f t="shared" si="0"/>
        <v>28917.46</v>
      </c>
    </row>
    <row r="11" spans="1:15" x14ac:dyDescent="0.25">
      <c r="A11" s="74" t="s">
        <v>5</v>
      </c>
      <c r="B11" s="1">
        <v>10791.182000000001</v>
      </c>
      <c r="C11" s="2">
        <v>272.327</v>
      </c>
      <c r="D11" s="3">
        <v>6380.5479999999998</v>
      </c>
      <c r="E11" s="110">
        <v>9426.4850000000006</v>
      </c>
      <c r="F11" s="118">
        <v>990.52700000000004</v>
      </c>
      <c r="G11" s="2">
        <v>289.476</v>
      </c>
      <c r="H11" s="92">
        <v>367.82400000000001</v>
      </c>
      <c r="I11" s="114">
        <v>0</v>
      </c>
      <c r="J11" s="92">
        <v>24.521000000000001</v>
      </c>
      <c r="K11" s="92">
        <v>1.3129999999999999</v>
      </c>
      <c r="L11" s="2">
        <v>89.49</v>
      </c>
      <c r="M11" s="92">
        <v>11</v>
      </c>
      <c r="N11" s="92">
        <v>114.20399999999999</v>
      </c>
      <c r="O11" s="54">
        <f t="shared" si="0"/>
        <v>28758.897000000004</v>
      </c>
    </row>
    <row r="12" spans="1:15" x14ac:dyDescent="0.25">
      <c r="A12" s="74" t="s">
        <v>6</v>
      </c>
      <c r="B12" s="116">
        <v>10494.795</v>
      </c>
      <c r="C12" s="117">
        <v>259.50799999999998</v>
      </c>
      <c r="D12" s="117">
        <v>4370.1319999999996</v>
      </c>
      <c r="E12" s="123">
        <v>11094.215</v>
      </c>
      <c r="F12" s="125">
        <v>990.89700000000005</v>
      </c>
      <c r="G12" s="122">
        <v>353.84699999999998</v>
      </c>
      <c r="H12" s="124">
        <v>401.00400000000002</v>
      </c>
      <c r="I12" s="130">
        <v>0</v>
      </c>
      <c r="J12" s="138">
        <v>10.712999999999999</v>
      </c>
      <c r="K12" s="138">
        <v>1.454</v>
      </c>
      <c r="L12" s="129">
        <v>101.43899999999999</v>
      </c>
      <c r="M12" s="130">
        <v>12.406000000000001</v>
      </c>
      <c r="N12" s="138">
        <v>112.25</v>
      </c>
      <c r="O12" s="54">
        <f t="shared" ref="O12:O17" si="1">SUM(B12:N12)</f>
        <v>28202.660000000003</v>
      </c>
    </row>
    <row r="13" spans="1:15" x14ac:dyDescent="0.25">
      <c r="A13" s="74" t="s">
        <v>7</v>
      </c>
      <c r="B13" s="116">
        <v>10984.3</v>
      </c>
      <c r="C13" s="117">
        <v>283.89699999999999</v>
      </c>
      <c r="D13" s="117">
        <v>4617.5969999999998</v>
      </c>
      <c r="E13" s="123">
        <v>11246.147000000001</v>
      </c>
      <c r="F13" s="125">
        <v>617.95299999999997</v>
      </c>
      <c r="G13" s="122">
        <v>433.56900000000002</v>
      </c>
      <c r="H13" s="124">
        <v>392.916</v>
      </c>
      <c r="I13" s="130">
        <v>0</v>
      </c>
      <c r="J13" s="138">
        <v>11.936</v>
      </c>
      <c r="K13" s="138">
        <v>1.4650000000000001</v>
      </c>
      <c r="L13" s="129">
        <v>92.096000000000004</v>
      </c>
      <c r="M13" s="130">
        <v>13.765000000000001</v>
      </c>
      <c r="N13" s="138">
        <v>117.7783</v>
      </c>
      <c r="O13" s="54">
        <f t="shared" si="1"/>
        <v>28813.419300000005</v>
      </c>
    </row>
    <row r="14" spans="1:15" x14ac:dyDescent="0.25">
      <c r="A14" s="74" t="s">
        <v>8</v>
      </c>
      <c r="B14" s="116">
        <v>10957.492</v>
      </c>
      <c r="C14" s="117">
        <v>326.82100000000003</v>
      </c>
      <c r="D14" s="117">
        <v>4372.3329999999996</v>
      </c>
      <c r="E14" s="123">
        <v>13096.975</v>
      </c>
      <c r="F14" s="125">
        <v>881.87199999999996</v>
      </c>
      <c r="G14" s="121">
        <v>300.81</v>
      </c>
      <c r="H14" s="119">
        <v>323.49599999999998</v>
      </c>
      <c r="I14" s="119">
        <v>1.6759999999999999</v>
      </c>
      <c r="J14" s="119">
        <v>53.69</v>
      </c>
      <c r="K14" s="119">
        <v>1.798</v>
      </c>
      <c r="L14" s="128">
        <v>94.287000000000006</v>
      </c>
      <c r="M14" s="119">
        <v>14.725</v>
      </c>
      <c r="N14" s="119">
        <v>120.831</v>
      </c>
      <c r="O14" s="54">
        <f t="shared" si="1"/>
        <v>30546.805999999993</v>
      </c>
    </row>
    <row r="15" spans="1:15" x14ac:dyDescent="0.25">
      <c r="A15" s="74" t="s">
        <v>9</v>
      </c>
      <c r="B15" s="187">
        <v>12761.62</v>
      </c>
      <c r="C15" s="188">
        <v>406.05399999999997</v>
      </c>
      <c r="D15" s="188">
        <v>4407.5389999999998</v>
      </c>
      <c r="E15" s="133">
        <v>17315.827000000001</v>
      </c>
      <c r="F15" s="125">
        <v>1091.9169999999999</v>
      </c>
      <c r="G15" s="189">
        <v>204.86199999999999</v>
      </c>
      <c r="H15" s="138">
        <v>334.34399999999999</v>
      </c>
      <c r="I15" s="130">
        <v>0</v>
      </c>
      <c r="J15" s="138">
        <v>67.350999999999999</v>
      </c>
      <c r="K15" s="138">
        <v>1.4119999999999999</v>
      </c>
      <c r="L15" s="129">
        <v>94.090999999999994</v>
      </c>
      <c r="M15" s="130">
        <v>24.565000000000001</v>
      </c>
      <c r="N15" s="138">
        <v>124.884</v>
      </c>
      <c r="O15" s="54">
        <f t="shared" si="1"/>
        <v>36834.466</v>
      </c>
    </row>
    <row r="16" spans="1:15" x14ac:dyDescent="0.25">
      <c r="A16" s="74" t="s">
        <v>10</v>
      </c>
      <c r="B16" s="1">
        <v>14950.264999999999</v>
      </c>
      <c r="C16" s="2">
        <v>506.31299999999999</v>
      </c>
      <c r="D16" s="3">
        <v>5048.9440000000004</v>
      </c>
      <c r="E16" s="1">
        <v>19399.375</v>
      </c>
      <c r="F16" s="8">
        <v>1371.64</v>
      </c>
      <c r="G16" s="2">
        <v>296.58499999999998</v>
      </c>
      <c r="H16" s="92">
        <v>329.18400000000003</v>
      </c>
      <c r="I16" s="92">
        <v>0</v>
      </c>
      <c r="J16" s="196">
        <v>54.819000000000003</v>
      </c>
      <c r="K16" s="196">
        <v>1.4219999999999999</v>
      </c>
      <c r="L16" s="2">
        <v>102.22499999999999</v>
      </c>
      <c r="M16" s="92">
        <v>43.798999999999999</v>
      </c>
      <c r="N16" s="92">
        <v>130.46600000000001</v>
      </c>
      <c r="O16" s="54">
        <f t="shared" si="1"/>
        <v>42235.036999999997</v>
      </c>
    </row>
    <row r="17" spans="1:16" ht="15.75" thickBot="1" x14ac:dyDescent="0.3">
      <c r="A17" s="75" t="s">
        <v>11</v>
      </c>
      <c r="B17" s="4">
        <v>16553.848999999998</v>
      </c>
      <c r="C17" s="5">
        <v>571.22500000000002</v>
      </c>
      <c r="D17" s="8">
        <v>5942.3490000000002</v>
      </c>
      <c r="E17" s="4">
        <v>23068.931</v>
      </c>
      <c r="F17" s="8">
        <v>1651.5930000000001</v>
      </c>
      <c r="G17" s="5">
        <v>351.678</v>
      </c>
      <c r="H17" s="113">
        <v>378.25200000000001</v>
      </c>
      <c r="I17" s="113">
        <v>0</v>
      </c>
      <c r="J17" s="131">
        <v>76.081999999999994</v>
      </c>
      <c r="K17" s="131">
        <v>1.9279999999999999</v>
      </c>
      <c r="L17" s="5">
        <v>95.757999999999996</v>
      </c>
      <c r="M17" s="113">
        <v>46.293999999999997</v>
      </c>
      <c r="N17" s="113">
        <v>148.22</v>
      </c>
      <c r="O17" s="54">
        <f t="shared" si="1"/>
        <v>48886.159</v>
      </c>
    </row>
    <row r="18" spans="1:16" ht="16.5" thickBot="1" x14ac:dyDescent="0.3">
      <c r="A18" s="76" t="s">
        <v>12</v>
      </c>
      <c r="B18" s="6">
        <f t="shared" ref="B18:H18" si="2">SUM(B6:B17)</f>
        <v>157381.99799999996</v>
      </c>
      <c r="C18" s="6">
        <f t="shared" si="2"/>
        <v>5043.8850000000002</v>
      </c>
      <c r="D18" s="7">
        <f t="shared" si="2"/>
        <v>59197.969000000005</v>
      </c>
      <c r="E18" s="9">
        <f t="shared" si="2"/>
        <v>152153.59400000001</v>
      </c>
      <c r="F18" s="62">
        <f t="shared" si="2"/>
        <v>13798.326999999999</v>
      </c>
      <c r="G18" s="80">
        <f t="shared" si="2"/>
        <v>4014.2740000000003</v>
      </c>
      <c r="H18" s="7">
        <f t="shared" si="2"/>
        <v>4252.6680000000006</v>
      </c>
      <c r="I18" s="7">
        <f t="shared" ref="I18:M18" si="3">SUM(I6:I17)</f>
        <v>1.6759999999999999</v>
      </c>
      <c r="J18" s="80">
        <f t="shared" si="3"/>
        <v>597.25099999999998</v>
      </c>
      <c r="K18" s="7">
        <f t="shared" si="3"/>
        <v>17.855000000000004</v>
      </c>
      <c r="L18" s="80">
        <f t="shared" si="3"/>
        <v>1228.9939999999999</v>
      </c>
      <c r="M18" s="7">
        <f t="shared" si="3"/>
        <v>285.286</v>
      </c>
      <c r="N18" s="7">
        <f t="shared" ref="N18" si="4">SUM(N6:N17)</f>
        <v>1519.8783000000001</v>
      </c>
      <c r="O18" s="54">
        <f>SUM(O6:O17)</f>
        <v>399493.65529999998</v>
      </c>
      <c r="P18" s="54"/>
    </row>
    <row r="20" spans="1:16" x14ac:dyDescent="0.25">
      <c r="L20" s="54"/>
    </row>
    <row r="21" spans="1:16" x14ac:dyDescent="0.25">
      <c r="B21" s="72"/>
      <c r="C21" s="54"/>
    </row>
    <row r="22" spans="1:16" ht="15.75" x14ac:dyDescent="0.25">
      <c r="B22" s="36"/>
      <c r="C22" s="54"/>
      <c r="D22" s="36"/>
      <c r="E22" s="36"/>
      <c r="F22" s="36"/>
      <c r="G22" s="36"/>
      <c r="H22" s="36"/>
    </row>
    <row r="23" spans="1:16" x14ac:dyDescent="0.25">
      <c r="B23" s="72"/>
      <c r="C23" s="54"/>
    </row>
    <row r="25" spans="1:16" x14ac:dyDescent="0.25">
      <c r="K25" s="54"/>
    </row>
    <row r="26" spans="1:16" x14ac:dyDescent="0.25">
      <c r="K26" s="54"/>
    </row>
    <row r="27" spans="1:16" x14ac:dyDescent="0.25">
      <c r="K27" s="54"/>
    </row>
    <row r="28" spans="1:16" x14ac:dyDescent="0.25">
      <c r="K28" s="54"/>
    </row>
    <row r="29" spans="1:16" x14ac:dyDescent="0.25">
      <c r="K29" s="54"/>
    </row>
    <row r="30" spans="1:16" x14ac:dyDescent="0.25">
      <c r="B30" s="54"/>
      <c r="K30" s="54"/>
    </row>
    <row r="31" spans="1:16" x14ac:dyDescent="0.25">
      <c r="I31" s="54"/>
      <c r="K31" s="54"/>
    </row>
    <row r="32" spans="1:16" x14ac:dyDescent="0.25">
      <c r="K32" s="54"/>
    </row>
  </sheetData>
  <mergeCells count="7">
    <mergeCell ref="A1:M1"/>
    <mergeCell ref="A3:A5"/>
    <mergeCell ref="B4:D4"/>
    <mergeCell ref="B3:D3"/>
    <mergeCell ref="E4:F4"/>
    <mergeCell ref="E3:F3"/>
    <mergeCell ref="E2:F2"/>
  </mergeCells>
  <phoneticPr fontId="18" type="noConversion"/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4"/>
  <sheetViews>
    <sheetView view="pageBreakPreview" topLeftCell="F1" zoomScaleNormal="100" zoomScaleSheetLayoutView="100" workbookViewId="0">
      <selection activeCell="K4" sqref="K4"/>
    </sheetView>
  </sheetViews>
  <sheetFormatPr defaultRowHeight="15" x14ac:dyDescent="0.25"/>
  <cols>
    <col min="1" max="1" width="13.85546875" style="25" customWidth="1"/>
    <col min="2" max="4" width="10.7109375" style="25" customWidth="1"/>
    <col min="5" max="5" width="20.140625" style="25" customWidth="1"/>
    <col min="6" max="6" width="13.5703125" style="25" customWidth="1"/>
    <col min="7" max="7" width="12" style="25" customWidth="1"/>
    <col min="8" max="8" width="9.85546875" style="25" customWidth="1"/>
    <col min="9" max="9" width="18.140625" style="25" customWidth="1"/>
    <col min="10" max="10" width="18.42578125" style="25" customWidth="1"/>
    <col min="11" max="11" width="19.28515625" style="25" customWidth="1"/>
    <col min="12" max="12" width="19.28515625" style="25" bestFit="1" customWidth="1"/>
    <col min="13" max="13" width="9" style="25" hidden="1" customWidth="1"/>
    <col min="14" max="14" width="10" style="25" bestFit="1" customWidth="1"/>
    <col min="15" max="16384" width="9.140625" style="25"/>
  </cols>
  <sheetData>
    <row r="1" spans="1:13" ht="19.5" x14ac:dyDescent="0.3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3" ht="15.75" thickBot="1" x14ac:dyDescent="0.3">
      <c r="B2" s="208"/>
      <c r="C2" s="208"/>
      <c r="D2" s="208"/>
      <c r="E2" s="175"/>
      <c r="I2" s="175"/>
      <c r="J2" s="175"/>
      <c r="K2" s="175"/>
      <c r="L2" s="175"/>
    </row>
    <row r="3" spans="1:13" ht="48.75" thickBot="1" x14ac:dyDescent="0.3">
      <c r="A3" s="209" t="s">
        <v>62</v>
      </c>
      <c r="B3" s="206" t="s">
        <v>60</v>
      </c>
      <c r="C3" s="204"/>
      <c r="D3" s="204"/>
      <c r="E3" s="10" t="s">
        <v>59</v>
      </c>
      <c r="F3" s="215" t="s">
        <v>18</v>
      </c>
      <c r="G3" s="216"/>
      <c r="H3" s="217"/>
      <c r="I3" s="77" t="s">
        <v>64</v>
      </c>
      <c r="J3" s="10" t="s">
        <v>47</v>
      </c>
      <c r="K3" s="10" t="s">
        <v>61</v>
      </c>
      <c r="L3" s="10" t="s">
        <v>73</v>
      </c>
    </row>
    <row r="4" spans="1:13" ht="36.75" thickBot="1" x14ac:dyDescent="0.3">
      <c r="A4" s="210"/>
      <c r="B4" s="206" t="s">
        <v>58</v>
      </c>
      <c r="C4" s="204"/>
      <c r="D4" s="204"/>
      <c r="E4" s="10" t="s">
        <v>57</v>
      </c>
      <c r="F4" s="212" t="s">
        <v>13</v>
      </c>
      <c r="G4" s="213"/>
      <c r="H4" s="214"/>
      <c r="I4" s="94" t="s">
        <v>13</v>
      </c>
      <c r="J4" s="63" t="s">
        <v>13</v>
      </c>
      <c r="K4" s="107" t="s">
        <v>13</v>
      </c>
      <c r="L4" s="107" t="s">
        <v>13</v>
      </c>
    </row>
    <row r="5" spans="1:13" ht="15.75" thickBot="1" x14ac:dyDescent="0.3">
      <c r="A5" s="211"/>
      <c r="B5" s="105" t="s">
        <v>14</v>
      </c>
      <c r="C5" s="103" t="s">
        <v>15</v>
      </c>
      <c r="D5" s="180" t="s">
        <v>17</v>
      </c>
      <c r="E5" s="64" t="s">
        <v>16</v>
      </c>
      <c r="F5" s="65" t="s">
        <v>14</v>
      </c>
      <c r="G5" s="29" t="s">
        <v>15</v>
      </c>
      <c r="H5" s="30" t="s">
        <v>16</v>
      </c>
      <c r="I5" s="30" t="s">
        <v>16</v>
      </c>
      <c r="J5" s="73" t="s">
        <v>16</v>
      </c>
      <c r="K5" s="111" t="s">
        <v>16</v>
      </c>
      <c r="L5" s="30" t="s">
        <v>16</v>
      </c>
    </row>
    <row r="6" spans="1:13" x14ac:dyDescent="0.25">
      <c r="A6" s="101" t="s">
        <v>0</v>
      </c>
      <c r="B6" s="93">
        <v>3056.4589999999998</v>
      </c>
      <c r="C6" s="21">
        <v>53.64</v>
      </c>
      <c r="D6" s="21">
        <v>1149.673</v>
      </c>
      <c r="E6" s="181">
        <v>459.01</v>
      </c>
      <c r="F6" s="67">
        <v>1837.21</v>
      </c>
      <c r="G6" s="96">
        <v>26.058</v>
      </c>
      <c r="H6" s="3">
        <v>158.054</v>
      </c>
      <c r="I6" s="86">
        <v>110.21299999999999</v>
      </c>
      <c r="J6" s="21">
        <v>163.42699999999999</v>
      </c>
      <c r="K6" s="92">
        <v>15.484999999999999</v>
      </c>
      <c r="L6" s="86">
        <v>40.429000000000002</v>
      </c>
      <c r="M6" s="54">
        <f t="shared" ref="M6:M17" si="0">SUM(B6:L6)</f>
        <v>7069.6579999999994</v>
      </c>
    </row>
    <row r="7" spans="1:13" x14ac:dyDescent="0.25">
      <c r="A7" s="74" t="s">
        <v>1</v>
      </c>
      <c r="B7" s="93">
        <v>2607.4949999999999</v>
      </c>
      <c r="C7" s="21">
        <v>46.8</v>
      </c>
      <c r="D7" s="21">
        <v>976.46299999999997</v>
      </c>
      <c r="E7" s="182">
        <v>396.33</v>
      </c>
      <c r="F7" s="1">
        <v>1685.5119999999999</v>
      </c>
      <c r="G7" s="2">
        <v>26.027999999999999</v>
      </c>
      <c r="H7" s="3">
        <v>129.53700000000001</v>
      </c>
      <c r="I7" s="86">
        <v>97.174999999999997</v>
      </c>
      <c r="J7" s="21">
        <v>144.31</v>
      </c>
      <c r="K7" s="92">
        <v>16.079999999999998</v>
      </c>
      <c r="L7" s="86">
        <v>42.243000000000002</v>
      </c>
      <c r="M7" s="54">
        <f t="shared" si="0"/>
        <v>6167.9730000000009</v>
      </c>
    </row>
    <row r="8" spans="1:13" x14ac:dyDescent="0.25">
      <c r="A8" s="74" t="s">
        <v>2</v>
      </c>
      <c r="B8" s="93">
        <v>2592.5459999999998</v>
      </c>
      <c r="C8" s="21">
        <v>47.304000000000002</v>
      </c>
      <c r="D8" s="21">
        <v>916.59799999999996</v>
      </c>
      <c r="E8" s="182">
        <v>413.67899999999997</v>
      </c>
      <c r="F8" s="1">
        <v>1448.6120000000001</v>
      </c>
      <c r="G8" s="2">
        <v>18.173999999999999</v>
      </c>
      <c r="H8" s="3">
        <v>125.72499999999999</v>
      </c>
      <c r="I8" s="86">
        <v>91.885999999999996</v>
      </c>
      <c r="J8" s="21">
        <v>153.93600000000001</v>
      </c>
      <c r="K8" s="92">
        <v>16.951000000000001</v>
      </c>
      <c r="L8" s="86">
        <v>47.8</v>
      </c>
      <c r="M8" s="54">
        <f t="shared" si="0"/>
        <v>5873.2110000000002</v>
      </c>
    </row>
    <row r="9" spans="1:13" x14ac:dyDescent="0.25">
      <c r="A9" s="74" t="s">
        <v>3</v>
      </c>
      <c r="B9" s="93">
        <v>2106.837</v>
      </c>
      <c r="C9" s="21">
        <v>40.896000000000001</v>
      </c>
      <c r="D9" s="21">
        <v>566.61099999999999</v>
      </c>
      <c r="E9" s="182">
        <v>369.77100000000002</v>
      </c>
      <c r="F9" s="1">
        <v>1502.2940000000001</v>
      </c>
      <c r="G9" s="2">
        <v>3.6419999999999999</v>
      </c>
      <c r="H9" s="3">
        <v>141.70500000000001</v>
      </c>
      <c r="I9" s="86">
        <v>84.159000000000006</v>
      </c>
      <c r="J9" s="21">
        <v>145.88399999999999</v>
      </c>
      <c r="K9" s="92">
        <v>14.177</v>
      </c>
      <c r="L9" s="86">
        <v>40.564999999999998</v>
      </c>
      <c r="M9" s="54">
        <f t="shared" si="0"/>
        <v>5016.5409999999993</v>
      </c>
    </row>
    <row r="10" spans="1:13" x14ac:dyDescent="0.25">
      <c r="A10" s="74" t="s">
        <v>4</v>
      </c>
      <c r="B10" s="93">
        <v>1749.62</v>
      </c>
      <c r="C10" s="21">
        <v>37.92</v>
      </c>
      <c r="D10" s="21">
        <v>706.49</v>
      </c>
      <c r="E10" s="182">
        <v>310.97699999999998</v>
      </c>
      <c r="F10" s="1">
        <v>1505.5419999999999</v>
      </c>
      <c r="G10" s="2">
        <v>2.028</v>
      </c>
      <c r="H10" s="3">
        <v>199.26400000000001</v>
      </c>
      <c r="I10" s="86">
        <v>75.180999999999997</v>
      </c>
      <c r="J10" s="21">
        <v>141.84899999999999</v>
      </c>
      <c r="K10" s="92">
        <v>11.157999999999999</v>
      </c>
      <c r="L10" s="86">
        <v>48.164000000000001</v>
      </c>
      <c r="M10" s="54">
        <f t="shared" si="0"/>
        <v>4788.1929999999993</v>
      </c>
    </row>
    <row r="11" spans="1:13" x14ac:dyDescent="0.25">
      <c r="A11" s="74" t="s">
        <v>5</v>
      </c>
      <c r="B11" s="93">
        <v>1235.492</v>
      </c>
      <c r="C11" s="21">
        <v>28.692</v>
      </c>
      <c r="D11" s="21">
        <v>725.86400000000003</v>
      </c>
      <c r="E11" s="182">
        <v>271.96600000000001</v>
      </c>
      <c r="F11" s="1">
        <v>1441.82</v>
      </c>
      <c r="G11" s="2">
        <v>1.53</v>
      </c>
      <c r="H11" s="3">
        <v>197.11</v>
      </c>
      <c r="I11" s="86">
        <v>57.307000000000002</v>
      </c>
      <c r="J11" s="21">
        <v>137.09299999999999</v>
      </c>
      <c r="K11" s="92">
        <v>9.0190000000000001</v>
      </c>
      <c r="L11" s="86">
        <v>45.082999999999998</v>
      </c>
      <c r="M11" s="54">
        <f t="shared" si="0"/>
        <v>4150.9759999999997</v>
      </c>
    </row>
    <row r="12" spans="1:13" x14ac:dyDescent="0.25">
      <c r="A12" s="74" t="s">
        <v>6</v>
      </c>
      <c r="B12" s="133">
        <v>1141.2750000000001</v>
      </c>
      <c r="C12" s="134">
        <v>24.696000000000002</v>
      </c>
      <c r="D12" s="137">
        <v>597.76099999999997</v>
      </c>
      <c r="E12" s="138">
        <v>294.52999999999997</v>
      </c>
      <c r="F12" s="1">
        <v>1174.3599999999999</v>
      </c>
      <c r="G12" s="2">
        <v>1.1879999999999999</v>
      </c>
      <c r="H12" s="3">
        <v>205.76599999999999</v>
      </c>
      <c r="I12" s="86">
        <v>61.024999999999999</v>
      </c>
      <c r="J12" s="136">
        <v>143.86000000000001</v>
      </c>
      <c r="K12" s="138">
        <v>9.7270000000000003</v>
      </c>
      <c r="L12" s="140">
        <v>44.552</v>
      </c>
      <c r="M12" s="54">
        <f t="shared" si="0"/>
        <v>3698.74</v>
      </c>
    </row>
    <row r="13" spans="1:13" x14ac:dyDescent="0.25">
      <c r="A13" s="74" t="s">
        <v>7</v>
      </c>
      <c r="B13" s="133">
        <v>1282.5650000000001</v>
      </c>
      <c r="C13" s="134">
        <v>27.228000000000002</v>
      </c>
      <c r="D13" s="137">
        <v>693.30100000000004</v>
      </c>
      <c r="E13" s="138">
        <v>294.51</v>
      </c>
      <c r="F13" s="1">
        <v>1324.49</v>
      </c>
      <c r="G13" s="2">
        <v>2.31</v>
      </c>
      <c r="H13" s="3">
        <v>210.11600000000001</v>
      </c>
      <c r="I13" s="86">
        <v>61.789000000000001</v>
      </c>
      <c r="J13" s="136">
        <v>141.88</v>
      </c>
      <c r="K13" s="138">
        <v>8.4600000000000009</v>
      </c>
      <c r="L13" s="140">
        <v>52.816000000000003</v>
      </c>
      <c r="M13" s="54">
        <f t="shared" si="0"/>
        <v>4099.4650000000001</v>
      </c>
    </row>
    <row r="14" spans="1:13" x14ac:dyDescent="0.25">
      <c r="A14" s="74" t="s">
        <v>8</v>
      </c>
      <c r="B14" s="133">
        <v>1499.83</v>
      </c>
      <c r="C14" s="134">
        <v>43.572000000000003</v>
      </c>
      <c r="D14" s="137">
        <v>868.88099999999997</v>
      </c>
      <c r="E14" s="119">
        <v>293.97000000000003</v>
      </c>
      <c r="F14" s="1">
        <v>1400.404</v>
      </c>
      <c r="G14" s="2">
        <v>3.2639999999999998</v>
      </c>
      <c r="H14" s="3">
        <v>172.732</v>
      </c>
      <c r="I14" s="86">
        <v>66.759</v>
      </c>
      <c r="J14" s="135">
        <v>141.74</v>
      </c>
      <c r="K14" s="119">
        <v>7.4349999999999996</v>
      </c>
      <c r="L14" s="139">
        <v>45.345999999999997</v>
      </c>
      <c r="M14" s="54">
        <f t="shared" si="0"/>
        <v>4543.9329999999991</v>
      </c>
    </row>
    <row r="15" spans="1:13" x14ac:dyDescent="0.25">
      <c r="A15" s="74" t="s">
        <v>9</v>
      </c>
      <c r="B15" s="190">
        <v>1850.415</v>
      </c>
      <c r="C15" s="191">
        <v>30.42</v>
      </c>
      <c r="D15" s="191">
        <v>857.18600000000004</v>
      </c>
      <c r="E15" s="138">
        <v>363.21</v>
      </c>
      <c r="F15" s="1">
        <v>1589.462</v>
      </c>
      <c r="G15" s="2">
        <v>2.016</v>
      </c>
      <c r="H15" s="3">
        <v>88.111999999999995</v>
      </c>
      <c r="I15" s="86">
        <v>77.998000000000005</v>
      </c>
      <c r="J15" s="132">
        <v>150.44</v>
      </c>
      <c r="K15" s="120">
        <v>10.542999999999999</v>
      </c>
      <c r="L15" s="126">
        <v>45.08</v>
      </c>
      <c r="M15" s="54">
        <f t="shared" si="0"/>
        <v>5064.8819999999987</v>
      </c>
    </row>
    <row r="16" spans="1:13" x14ac:dyDescent="0.25">
      <c r="A16" s="74" t="s">
        <v>10</v>
      </c>
      <c r="B16" s="93">
        <v>2244.2249999999999</v>
      </c>
      <c r="C16" s="21">
        <v>47.904000000000003</v>
      </c>
      <c r="D16" s="21">
        <v>983.31500000000005</v>
      </c>
      <c r="E16" s="182">
        <v>444.56</v>
      </c>
      <c r="F16" s="1">
        <v>1758.912</v>
      </c>
      <c r="G16" s="5">
        <v>2.0819999999999999</v>
      </c>
      <c r="H16" s="8">
        <v>91.206000000000003</v>
      </c>
      <c r="I16" s="95">
        <v>92.926000000000002</v>
      </c>
      <c r="J16" s="115">
        <v>154.12</v>
      </c>
      <c r="K16" s="113">
        <v>10.536</v>
      </c>
      <c r="L16" s="95">
        <v>51.811999999999998</v>
      </c>
      <c r="M16" s="54">
        <f t="shared" si="0"/>
        <v>5881.5980000000009</v>
      </c>
    </row>
    <row r="17" spans="1:14" ht="15.75" thickBot="1" x14ac:dyDescent="0.3">
      <c r="A17" s="102" t="s">
        <v>11</v>
      </c>
      <c r="B17" s="93">
        <v>2560.5250000000001</v>
      </c>
      <c r="C17" s="21">
        <v>57.444000000000003</v>
      </c>
      <c r="D17" s="21">
        <v>1169.982</v>
      </c>
      <c r="E17" s="183">
        <v>507.78</v>
      </c>
      <c r="F17" s="39">
        <v>2096.152</v>
      </c>
      <c r="G17" s="68">
        <v>2.3159999999999998</v>
      </c>
      <c r="H17" s="41">
        <v>137.06</v>
      </c>
      <c r="I17" s="87">
        <v>113.465</v>
      </c>
      <c r="J17" s="69">
        <v>159.88</v>
      </c>
      <c r="K17" s="131">
        <v>13.015000000000001</v>
      </c>
      <c r="L17" s="87">
        <v>55.594000000000001</v>
      </c>
      <c r="M17" s="54">
        <f t="shared" si="0"/>
        <v>6873.2130000000006</v>
      </c>
    </row>
    <row r="18" spans="1:14" ht="15.75" thickBot="1" x14ac:dyDescent="0.3">
      <c r="A18" s="70" t="s">
        <v>12</v>
      </c>
      <c r="B18" s="7">
        <f>SUM(B6:B17)</f>
        <v>23927.284</v>
      </c>
      <c r="C18" s="7">
        <f>SUM(C6:C17)</f>
        <v>486.51600000000008</v>
      </c>
      <c r="D18" s="6">
        <f>SUM(D6:D17)</f>
        <v>10212.125000000002</v>
      </c>
      <c r="E18" s="7">
        <f t="shared" ref="E18:I18" si="1">SUM(E6:E17)</f>
        <v>4420.2930000000006</v>
      </c>
      <c r="F18" s="9">
        <f t="shared" si="1"/>
        <v>18764.769999999997</v>
      </c>
      <c r="G18" s="61">
        <f t="shared" si="1"/>
        <v>90.635999999999996</v>
      </c>
      <c r="H18" s="62">
        <f t="shared" si="1"/>
        <v>1856.3869999999999</v>
      </c>
      <c r="I18" s="71">
        <f t="shared" si="1"/>
        <v>989.88300000000004</v>
      </c>
      <c r="J18" s="62">
        <f t="shared" ref="J18:K18" si="2">SUM(J6:J17)</f>
        <v>1778.4190000000003</v>
      </c>
      <c r="K18" s="62">
        <f t="shared" si="2"/>
        <v>142.58600000000001</v>
      </c>
      <c r="L18" s="62">
        <f t="shared" ref="L18" si="3">SUM(L6:L17)</f>
        <v>559.48400000000004</v>
      </c>
      <c r="N18" s="54"/>
    </row>
    <row r="21" spans="1:14" x14ac:dyDescent="0.25">
      <c r="F21" s="54"/>
    </row>
    <row r="22" spans="1:14" ht="15.75" x14ac:dyDescent="0.25">
      <c r="C22" s="54"/>
      <c r="D22" s="36"/>
      <c r="E22" s="36"/>
      <c r="F22" s="36"/>
      <c r="G22" s="36"/>
    </row>
    <row r="23" spans="1:14" x14ac:dyDescent="0.25">
      <c r="C23" s="54"/>
    </row>
    <row r="24" spans="1:14" x14ac:dyDescent="0.25">
      <c r="C24" s="54"/>
    </row>
  </sheetData>
  <mergeCells count="7">
    <mergeCell ref="A1:L1"/>
    <mergeCell ref="A3:A5"/>
    <mergeCell ref="F4:H4"/>
    <mergeCell ref="F3:H3"/>
    <mergeCell ref="B3:D3"/>
    <mergeCell ref="B4:D4"/>
    <mergeCell ref="B2:D2"/>
  </mergeCells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4"/>
  <sheetViews>
    <sheetView view="pageBreakPreview" zoomScale="80" zoomScaleNormal="100" zoomScaleSheetLayoutView="80" workbookViewId="0">
      <selection activeCell="O28" sqref="O28"/>
    </sheetView>
  </sheetViews>
  <sheetFormatPr defaultRowHeight="15" x14ac:dyDescent="0.25"/>
  <cols>
    <col min="1" max="1" width="13.85546875" style="25" customWidth="1"/>
    <col min="2" max="2" width="12" style="25" customWidth="1"/>
    <col min="3" max="3" width="11.5703125" style="25" customWidth="1"/>
    <col min="4" max="4" width="9.85546875" style="25" customWidth="1"/>
    <col min="5" max="5" width="10" style="25" bestFit="1" customWidth="1"/>
    <col min="6" max="6" width="11" style="25" customWidth="1"/>
    <col min="7" max="7" width="12" style="25" customWidth="1"/>
    <col min="8" max="9" width="11" style="25" customWidth="1"/>
    <col min="10" max="10" width="11.28515625" style="25" bestFit="1" customWidth="1"/>
    <col min="11" max="11" width="11.42578125" style="25" customWidth="1"/>
    <col min="12" max="12" width="16.5703125" style="25" bestFit="1" customWidth="1"/>
    <col min="13" max="14" width="19.85546875" style="25" bestFit="1" customWidth="1"/>
    <col min="15" max="16" width="22.7109375" style="25" customWidth="1"/>
    <col min="17" max="17" width="10.85546875" style="25" hidden="1" customWidth="1"/>
    <col min="18" max="16384" width="9.140625" style="25"/>
  </cols>
  <sheetData>
    <row r="1" spans="1:17" ht="19.5" x14ac:dyDescent="0.35">
      <c r="A1" s="199" t="s">
        <v>77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72"/>
      <c r="P1" s="172"/>
    </row>
    <row r="2" spans="1:17" ht="15.75" thickBot="1" x14ac:dyDescent="0.3"/>
    <row r="3" spans="1:17" ht="67.5" customHeight="1" thickBot="1" x14ac:dyDescent="0.3">
      <c r="A3" s="218" t="s">
        <v>65</v>
      </c>
      <c r="B3" s="206" t="s">
        <v>42</v>
      </c>
      <c r="C3" s="204"/>
      <c r="D3" s="206" t="s">
        <v>43</v>
      </c>
      <c r="E3" s="204"/>
      <c r="F3" s="204"/>
      <c r="G3" s="207"/>
      <c r="H3" s="223" t="s">
        <v>44</v>
      </c>
      <c r="I3" s="224"/>
      <c r="J3" s="206" t="s">
        <v>48</v>
      </c>
      <c r="K3" s="207"/>
      <c r="L3" s="10" t="s">
        <v>49</v>
      </c>
      <c r="M3" s="206" t="s">
        <v>52</v>
      </c>
      <c r="N3" s="207"/>
      <c r="O3" s="206" t="s">
        <v>74</v>
      </c>
      <c r="P3" s="207"/>
    </row>
    <row r="4" spans="1:17" ht="36.75" customHeight="1" thickBot="1" x14ac:dyDescent="0.3">
      <c r="A4" s="219"/>
      <c r="B4" s="221" t="s">
        <v>13</v>
      </c>
      <c r="C4" s="222"/>
      <c r="D4" s="206" t="s">
        <v>23</v>
      </c>
      <c r="E4" s="207"/>
      <c r="F4" s="206" t="s">
        <v>24</v>
      </c>
      <c r="G4" s="207"/>
      <c r="H4" s="206" t="s">
        <v>23</v>
      </c>
      <c r="I4" s="207"/>
      <c r="J4" s="99" t="s">
        <v>23</v>
      </c>
      <c r="K4" s="10" t="s">
        <v>24</v>
      </c>
      <c r="L4" s="10" t="s">
        <v>23</v>
      </c>
      <c r="M4" s="99" t="s">
        <v>23</v>
      </c>
      <c r="N4" s="10" t="s">
        <v>24</v>
      </c>
      <c r="O4" s="173" t="s">
        <v>23</v>
      </c>
      <c r="P4" s="10" t="s">
        <v>24</v>
      </c>
    </row>
    <row r="5" spans="1:17" ht="15.75" thickBot="1" x14ac:dyDescent="0.3">
      <c r="A5" s="220"/>
      <c r="B5" s="45" t="s">
        <v>14</v>
      </c>
      <c r="C5" s="141" t="s">
        <v>16</v>
      </c>
      <c r="D5" s="46" t="s">
        <v>16</v>
      </c>
      <c r="E5" s="47" t="s">
        <v>22</v>
      </c>
      <c r="F5" s="48" t="s">
        <v>16</v>
      </c>
      <c r="G5" s="47" t="s">
        <v>22</v>
      </c>
      <c r="H5" s="84" t="s">
        <v>16</v>
      </c>
      <c r="I5" s="79" t="s">
        <v>22</v>
      </c>
      <c r="J5" s="48" t="s">
        <v>16</v>
      </c>
      <c r="K5" s="88" t="s">
        <v>16</v>
      </c>
      <c r="L5" s="88" t="s">
        <v>14</v>
      </c>
      <c r="M5" s="79" t="s">
        <v>16</v>
      </c>
      <c r="N5" s="100" t="s">
        <v>16</v>
      </c>
      <c r="O5" s="174" t="s">
        <v>16</v>
      </c>
      <c r="P5" s="174" t="s">
        <v>16</v>
      </c>
    </row>
    <row r="6" spans="1:17" x14ac:dyDescent="0.25">
      <c r="A6" s="49" t="s">
        <v>0</v>
      </c>
      <c r="B6" s="50">
        <v>7607.8620000000001</v>
      </c>
      <c r="C6" s="51">
        <v>493.29300000000001</v>
      </c>
      <c r="D6" s="52">
        <v>9.6370000000000005</v>
      </c>
      <c r="E6" s="53">
        <v>2.9830000000000001</v>
      </c>
      <c r="F6" s="52">
        <v>1.4E-2</v>
      </c>
      <c r="G6" s="53">
        <v>4.0000000000000001E-3</v>
      </c>
      <c r="H6" s="38">
        <v>7.524</v>
      </c>
      <c r="I6" s="81">
        <v>0.96399999999999997</v>
      </c>
      <c r="J6" s="104">
        <v>663.47699999999998</v>
      </c>
      <c r="K6" s="89">
        <v>0.95199999999999996</v>
      </c>
      <c r="L6" s="89">
        <v>11.032</v>
      </c>
      <c r="M6" s="85">
        <v>700.89499999999998</v>
      </c>
      <c r="N6" s="85">
        <v>1.1859999999999999</v>
      </c>
      <c r="O6" s="85">
        <v>0</v>
      </c>
      <c r="P6" s="85">
        <v>0</v>
      </c>
      <c r="Q6" s="54">
        <f t="shared" ref="Q6:Q15" si="0">SUM(B6:E6,H6:I6,J6,L6,M6)</f>
        <v>9497.6669999999995</v>
      </c>
    </row>
    <row r="7" spans="1:17" x14ac:dyDescent="0.25">
      <c r="A7" s="11" t="s">
        <v>19</v>
      </c>
      <c r="B7" s="1">
        <v>6980.1040000000003</v>
      </c>
      <c r="C7" s="12">
        <v>457.77699999999999</v>
      </c>
      <c r="D7" s="14">
        <v>8.4879999999999995</v>
      </c>
      <c r="E7" s="13">
        <v>2.766</v>
      </c>
      <c r="F7" s="14">
        <v>1.2999999999999999E-2</v>
      </c>
      <c r="G7" s="13">
        <v>4.0000000000000001E-3</v>
      </c>
      <c r="H7" s="1">
        <v>6.7140000000000004</v>
      </c>
      <c r="I7" s="82">
        <v>0.85899999999999999</v>
      </c>
      <c r="J7" s="55">
        <v>592.48599999999999</v>
      </c>
      <c r="K7" s="112">
        <v>0.95099999999999996</v>
      </c>
      <c r="L7" s="90">
        <v>0.11799999999999999</v>
      </c>
      <c r="M7" s="86">
        <v>658.53099999999995</v>
      </c>
      <c r="N7" s="86">
        <v>1.1910000000000001</v>
      </c>
      <c r="O7" s="86">
        <v>0</v>
      </c>
      <c r="P7" s="86">
        <v>0</v>
      </c>
      <c r="Q7" s="54">
        <f t="shared" si="0"/>
        <v>8707.8430000000008</v>
      </c>
    </row>
    <row r="8" spans="1:17" x14ac:dyDescent="0.25">
      <c r="A8" s="11" t="s">
        <v>20</v>
      </c>
      <c r="B8" s="1">
        <v>8304.9789999999994</v>
      </c>
      <c r="C8" s="12">
        <v>510.649</v>
      </c>
      <c r="D8" s="14">
        <v>9.2759999999999998</v>
      </c>
      <c r="E8" s="106">
        <v>3.15</v>
      </c>
      <c r="F8" s="14">
        <v>1.4E-2</v>
      </c>
      <c r="G8" s="13">
        <v>5.0000000000000001E-3</v>
      </c>
      <c r="H8" s="1">
        <v>6.4690000000000003</v>
      </c>
      <c r="I8" s="82">
        <v>0.92200000000000004</v>
      </c>
      <c r="J8" s="55">
        <v>564.53499999999997</v>
      </c>
      <c r="K8" s="90">
        <v>0.80800000000000005</v>
      </c>
      <c r="L8" s="142">
        <v>0.82699999999999996</v>
      </c>
      <c r="M8" s="86">
        <v>587.70799999999997</v>
      </c>
      <c r="N8" s="86">
        <v>0.95499999999999996</v>
      </c>
      <c r="O8" s="86">
        <v>0</v>
      </c>
      <c r="P8" s="86">
        <v>0</v>
      </c>
      <c r="Q8" s="54">
        <f t="shared" si="0"/>
        <v>9988.5149999999976</v>
      </c>
    </row>
    <row r="9" spans="1:17" x14ac:dyDescent="0.25">
      <c r="A9" s="11" t="s">
        <v>21</v>
      </c>
      <c r="B9" s="1">
        <v>8052.14</v>
      </c>
      <c r="C9" s="12">
        <v>483.36599999999999</v>
      </c>
      <c r="D9" s="14">
        <v>8.9090000000000007</v>
      </c>
      <c r="E9" s="106">
        <v>3.0680000000000001</v>
      </c>
      <c r="F9" s="14">
        <v>1.4E-2</v>
      </c>
      <c r="G9" s="13">
        <v>5.0000000000000001E-3</v>
      </c>
      <c r="H9" s="1">
        <v>6.8659999999999997</v>
      </c>
      <c r="I9" s="82">
        <v>0.89100000000000001</v>
      </c>
      <c r="J9" s="55">
        <v>684.84100000000001</v>
      </c>
      <c r="K9" s="90">
        <v>1.016</v>
      </c>
      <c r="L9" s="90">
        <v>0.127</v>
      </c>
      <c r="M9" s="86">
        <v>685.28200000000004</v>
      </c>
      <c r="N9" s="86">
        <v>1.075</v>
      </c>
      <c r="O9" s="86">
        <v>0</v>
      </c>
      <c r="P9" s="86">
        <v>0</v>
      </c>
      <c r="Q9" s="54">
        <f t="shared" si="0"/>
        <v>9925.49</v>
      </c>
    </row>
    <row r="10" spans="1:17" x14ac:dyDescent="0.25">
      <c r="A10" s="11" t="s">
        <v>4</v>
      </c>
      <c r="B10" s="1">
        <v>8624.1640000000007</v>
      </c>
      <c r="C10" s="12">
        <v>478.61099999999999</v>
      </c>
      <c r="D10" s="14">
        <v>9.2780000000000005</v>
      </c>
      <c r="E10" s="106">
        <v>3.24</v>
      </c>
      <c r="F10" s="14">
        <v>1.2999999999999999E-2</v>
      </c>
      <c r="G10" s="13">
        <v>5.0000000000000001E-3</v>
      </c>
      <c r="H10" s="1">
        <v>6.4950000000000001</v>
      </c>
      <c r="I10" s="82">
        <v>0.94</v>
      </c>
      <c r="J10" s="55">
        <v>671.31299999999999</v>
      </c>
      <c r="K10" s="90">
        <v>0.95199999999999996</v>
      </c>
      <c r="L10" s="142">
        <v>0.13</v>
      </c>
      <c r="M10" s="86">
        <v>646.601</v>
      </c>
      <c r="N10" s="86">
        <v>0.99199999999999999</v>
      </c>
      <c r="O10" s="86">
        <v>0</v>
      </c>
      <c r="P10" s="86">
        <v>0</v>
      </c>
      <c r="Q10" s="54">
        <f t="shared" si="0"/>
        <v>10440.772000000003</v>
      </c>
    </row>
    <row r="11" spans="1:17" x14ac:dyDescent="0.25">
      <c r="A11" s="11" t="s">
        <v>5</v>
      </c>
      <c r="B11" s="1">
        <v>8349.8109999999997</v>
      </c>
      <c r="C11" s="12">
        <v>537.01</v>
      </c>
      <c r="D11" s="14">
        <v>8.6639999999999997</v>
      </c>
      <c r="E11" s="13">
        <v>3.242</v>
      </c>
      <c r="F11" s="14">
        <v>1.2999999999999999E-2</v>
      </c>
      <c r="G11" s="13">
        <v>5.0000000000000001E-3</v>
      </c>
      <c r="H11" s="1">
        <v>5.0960000000000001</v>
      </c>
      <c r="I11" s="82">
        <v>5.5</v>
      </c>
      <c r="J11" s="14">
        <v>634.42200000000003</v>
      </c>
      <c r="K11" s="90">
        <v>0.92700000000000005</v>
      </c>
      <c r="L11" s="90">
        <v>0.126</v>
      </c>
      <c r="M11" s="86">
        <v>722.45600000000002</v>
      </c>
      <c r="N11" s="86">
        <v>1.1519999999999999</v>
      </c>
      <c r="O11" s="86">
        <v>0</v>
      </c>
      <c r="P11" s="86">
        <v>0</v>
      </c>
      <c r="Q11" s="54">
        <f t="shared" si="0"/>
        <v>10266.327000000001</v>
      </c>
    </row>
    <row r="12" spans="1:17" x14ac:dyDescent="0.25">
      <c r="A12" s="11" t="s">
        <v>6</v>
      </c>
      <c r="B12" s="1">
        <v>9690.6389999999992</v>
      </c>
      <c r="C12" s="12">
        <v>566.03800000000001</v>
      </c>
      <c r="D12" s="55">
        <v>8.69</v>
      </c>
      <c r="E12" s="13">
        <v>3.371</v>
      </c>
      <c r="F12" s="14">
        <v>1.2999999999999999E-2</v>
      </c>
      <c r="G12" s="13">
        <v>5.0000000000000001E-3</v>
      </c>
      <c r="H12" s="1">
        <v>5.1079999999999997</v>
      </c>
      <c r="I12" s="82">
        <v>4.944</v>
      </c>
      <c r="J12" s="14">
        <v>617.21799999999996</v>
      </c>
      <c r="K12" s="90">
        <v>0.88400000000000001</v>
      </c>
      <c r="L12" s="142">
        <v>0.13</v>
      </c>
      <c r="M12" s="86">
        <v>758.726</v>
      </c>
      <c r="N12" s="86">
        <v>1.149</v>
      </c>
      <c r="O12" s="86">
        <v>0</v>
      </c>
      <c r="P12" s="86">
        <v>0</v>
      </c>
      <c r="Q12" s="54">
        <f t="shared" si="0"/>
        <v>11654.864</v>
      </c>
    </row>
    <row r="13" spans="1:17" x14ac:dyDescent="0.25">
      <c r="A13" s="11" t="s">
        <v>7</v>
      </c>
      <c r="B13" s="1">
        <v>9074.3080000000009</v>
      </c>
      <c r="C13" s="12">
        <v>610.35900000000004</v>
      </c>
      <c r="D13" s="14">
        <v>8.9060000000000006</v>
      </c>
      <c r="E13" s="106">
        <v>3.3719999999999999</v>
      </c>
      <c r="F13" s="14">
        <v>1.2999999999999999E-2</v>
      </c>
      <c r="G13" s="13">
        <v>5.0000000000000001E-3</v>
      </c>
      <c r="H13" s="1">
        <v>5.0670000000000002</v>
      </c>
      <c r="I13" s="82">
        <v>3.625</v>
      </c>
      <c r="J13" s="14">
        <v>402.22199999999998</v>
      </c>
      <c r="K13" s="142">
        <v>0.68</v>
      </c>
      <c r="L13" s="142">
        <v>0.13</v>
      </c>
      <c r="M13" s="86">
        <v>736.56500000000005</v>
      </c>
      <c r="N13" s="86">
        <v>1.1220000000000001</v>
      </c>
      <c r="O13" s="86">
        <v>0</v>
      </c>
      <c r="P13" s="86">
        <v>0</v>
      </c>
      <c r="Q13" s="54">
        <f t="shared" si="0"/>
        <v>10844.554</v>
      </c>
    </row>
    <row r="14" spans="1:17" x14ac:dyDescent="0.25">
      <c r="A14" s="11" t="s">
        <v>8</v>
      </c>
      <c r="B14" s="1">
        <v>9662.0959999999995</v>
      </c>
      <c r="C14" s="12">
        <v>502.07</v>
      </c>
      <c r="D14" s="192">
        <v>8.6310000000000002</v>
      </c>
      <c r="E14" s="194">
        <v>3.2090000000000001</v>
      </c>
      <c r="F14" s="14">
        <v>1.2999999999999999E-2</v>
      </c>
      <c r="G14" s="13">
        <v>5.0000000000000001E-3</v>
      </c>
      <c r="H14" s="1">
        <v>17.940000000000001</v>
      </c>
      <c r="I14" s="82">
        <v>3.4060000000000001</v>
      </c>
      <c r="J14" s="14">
        <v>658.81299999999999</v>
      </c>
      <c r="K14" s="90">
        <v>0.98299999999999998</v>
      </c>
      <c r="L14" s="90">
        <v>4.952</v>
      </c>
      <c r="M14" s="86">
        <v>649.45100000000002</v>
      </c>
      <c r="N14" s="86">
        <v>1.0089999999999999</v>
      </c>
      <c r="O14" s="86">
        <v>0</v>
      </c>
      <c r="P14" s="86">
        <v>0</v>
      </c>
      <c r="Q14" s="54">
        <f t="shared" si="0"/>
        <v>11510.567999999999</v>
      </c>
    </row>
    <row r="15" spans="1:17" x14ac:dyDescent="0.25">
      <c r="A15" s="11" t="s">
        <v>9</v>
      </c>
      <c r="B15" s="1">
        <v>15556.029</v>
      </c>
      <c r="C15" s="12">
        <v>524.63800000000003</v>
      </c>
      <c r="D15" s="193">
        <v>9.1709999999999994</v>
      </c>
      <c r="E15" s="195">
        <v>3.2320000000000002</v>
      </c>
      <c r="F15" s="14">
        <v>1.2999999999999999E-2</v>
      </c>
      <c r="G15" s="13">
        <v>5.0000000000000001E-3</v>
      </c>
      <c r="H15" s="1">
        <v>15.688000000000001</v>
      </c>
      <c r="I15" s="82">
        <v>3.4550000000000001</v>
      </c>
      <c r="J15" s="14">
        <v>676.29100000000005</v>
      </c>
      <c r="K15" s="90">
        <v>0.95199999999999996</v>
      </c>
      <c r="L15" s="142">
        <v>0.13</v>
      </c>
      <c r="M15" s="86">
        <v>713.63499999999999</v>
      </c>
      <c r="N15" s="86">
        <v>1.101</v>
      </c>
      <c r="O15" s="86">
        <v>0</v>
      </c>
      <c r="P15" s="86">
        <v>0</v>
      </c>
      <c r="Q15" s="54">
        <f t="shared" si="0"/>
        <v>17502.269</v>
      </c>
    </row>
    <row r="16" spans="1:17" x14ac:dyDescent="0.25">
      <c r="A16" s="11" t="s">
        <v>10</v>
      </c>
      <c r="B16" s="1">
        <v>17320.495999999999</v>
      </c>
      <c r="C16" s="12">
        <v>532.70699999999999</v>
      </c>
      <c r="D16" s="14">
        <v>9.1359999999999992</v>
      </c>
      <c r="E16" s="106">
        <v>3.0070000000000001</v>
      </c>
      <c r="F16" s="14">
        <v>1.2999999999999999E-2</v>
      </c>
      <c r="G16" s="13">
        <v>5.0000000000000001E-3</v>
      </c>
      <c r="H16" s="1">
        <v>22.501999999999999</v>
      </c>
      <c r="I16" s="82">
        <v>3.194</v>
      </c>
      <c r="J16" s="14">
        <v>748.96299999999997</v>
      </c>
      <c r="K16" s="142">
        <v>1.1499999999999999</v>
      </c>
      <c r="L16" s="90">
        <v>0.78700000000000003</v>
      </c>
      <c r="M16" s="86">
        <v>796.86900000000003</v>
      </c>
      <c r="N16" s="86">
        <v>1.325</v>
      </c>
      <c r="O16" s="86">
        <v>0</v>
      </c>
      <c r="P16" s="86">
        <v>0</v>
      </c>
      <c r="Q16" s="54">
        <f>SUM(B16:E16,H16:I16,J16,L16,M16)</f>
        <v>19437.660999999996</v>
      </c>
    </row>
    <row r="17" spans="1:17" ht="15.75" thickBot="1" x14ac:dyDescent="0.3">
      <c r="A17" s="56" t="s">
        <v>11</v>
      </c>
      <c r="B17" s="39">
        <v>20769.258999999998</v>
      </c>
      <c r="C17" s="40">
        <v>549.70299999999997</v>
      </c>
      <c r="D17" s="57">
        <v>9.7669999999999995</v>
      </c>
      <c r="E17" s="58">
        <v>2.9550000000000001</v>
      </c>
      <c r="F17" s="57">
        <v>1.4E-2</v>
      </c>
      <c r="G17" s="58">
        <v>4.0000000000000001E-3</v>
      </c>
      <c r="H17" s="39">
        <v>20.635000000000002</v>
      </c>
      <c r="I17" s="83">
        <v>3.4790000000000001</v>
      </c>
      <c r="J17" s="59">
        <v>724.05799999999999</v>
      </c>
      <c r="K17" s="91">
        <v>1.0329999999999999</v>
      </c>
      <c r="L17" s="149">
        <v>0.13</v>
      </c>
      <c r="M17" s="87">
        <v>900.529</v>
      </c>
      <c r="N17" s="87">
        <v>1.4470000000000001</v>
      </c>
      <c r="O17" s="87">
        <v>2.4E-2</v>
      </c>
      <c r="P17" s="87">
        <v>0</v>
      </c>
      <c r="Q17" s="54">
        <f>SUM(B17:E17,H17:I17,J17,L17,M17,O17)</f>
        <v>22980.539000000001</v>
      </c>
    </row>
    <row r="18" spans="1:17" ht="15.75" thickBot="1" x14ac:dyDescent="0.3">
      <c r="A18" s="60" t="s">
        <v>12</v>
      </c>
      <c r="B18" s="80">
        <f t="shared" ref="B18:C18" si="1">SUM(B6:B17)</f>
        <v>129991.88699999999</v>
      </c>
      <c r="C18" s="7">
        <f t="shared" si="1"/>
        <v>6246.2209999999995</v>
      </c>
      <c r="D18" s="7">
        <f t="shared" ref="D18:L18" si="2">SUM(D6:D17)</f>
        <v>108.553</v>
      </c>
      <c r="E18" s="80">
        <f t="shared" si="2"/>
        <v>37.594999999999999</v>
      </c>
      <c r="F18" s="7">
        <f t="shared" si="2"/>
        <v>0.16000000000000003</v>
      </c>
      <c r="G18" s="71">
        <f>SUM(G6:G17)</f>
        <v>5.6999999999999995E-2</v>
      </c>
      <c r="H18" s="7">
        <f>SUM(H6:H17)</f>
        <v>126.104</v>
      </c>
      <c r="I18" s="71">
        <f>SUM(I6:I17)</f>
        <v>32.179000000000002</v>
      </c>
      <c r="J18" s="7">
        <f t="shared" si="2"/>
        <v>7638.6390000000001</v>
      </c>
      <c r="K18" s="71">
        <f t="shared" si="2"/>
        <v>11.288</v>
      </c>
      <c r="L18" s="71">
        <f t="shared" si="2"/>
        <v>18.619</v>
      </c>
      <c r="M18" s="71">
        <f>SUM(M6:M17)</f>
        <v>8557.2480000000014</v>
      </c>
      <c r="N18" s="71">
        <f>SUM(N6:N17)</f>
        <v>13.704000000000001</v>
      </c>
      <c r="O18" s="71">
        <f>SUM(O6:O17)</f>
        <v>2.4E-2</v>
      </c>
      <c r="P18" s="71">
        <f>SUM(P6:P17)</f>
        <v>0</v>
      </c>
      <c r="Q18" s="54"/>
    </row>
    <row r="19" spans="1:17" x14ac:dyDescent="0.25">
      <c r="A19" s="176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</row>
    <row r="22" spans="1:17" ht="15.75" x14ac:dyDescent="0.25">
      <c r="B22" s="175"/>
      <c r="C22" s="175"/>
      <c r="D22" s="175"/>
      <c r="E22" s="175"/>
      <c r="J22" s="36"/>
    </row>
    <row r="23" spans="1:17" x14ac:dyDescent="0.25">
      <c r="B23" s="175"/>
      <c r="C23" s="175"/>
      <c r="D23" s="175"/>
      <c r="E23" s="175"/>
    </row>
    <row r="24" spans="1:17" x14ac:dyDescent="0.25">
      <c r="B24" s="185"/>
      <c r="C24" s="185"/>
      <c r="D24" s="185"/>
      <c r="E24" s="185"/>
      <c r="F24" s="54"/>
      <c r="I24" s="54"/>
    </row>
  </sheetData>
  <mergeCells count="12">
    <mergeCell ref="O3:P3"/>
    <mergeCell ref="H3:I3"/>
    <mergeCell ref="H4:I4"/>
    <mergeCell ref="J3:K3"/>
    <mergeCell ref="M3:N3"/>
    <mergeCell ref="A1:N1"/>
    <mergeCell ref="A3:A5"/>
    <mergeCell ref="D3:G3"/>
    <mergeCell ref="D4:E4"/>
    <mergeCell ref="F4:G4"/>
    <mergeCell ref="B3:C3"/>
    <mergeCell ref="B4:C4"/>
  </mergeCells>
  <phoneticPr fontId="18" type="noConversion"/>
  <pageMargins left="0.7" right="0.7" top="0.75" bottom="0.75" header="0.3" footer="0.3"/>
  <pageSetup paperSize="9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2"/>
  <sheetViews>
    <sheetView tabSelected="1" view="pageBreakPreview" zoomScale="90" zoomScaleNormal="100" zoomScaleSheetLayoutView="90" workbookViewId="0">
      <selection activeCell="G21" sqref="G21"/>
    </sheetView>
  </sheetViews>
  <sheetFormatPr defaultRowHeight="15" x14ac:dyDescent="0.25"/>
  <cols>
    <col min="1" max="1" width="13.7109375" style="25" customWidth="1"/>
    <col min="2" max="2" width="11.140625" style="25" customWidth="1"/>
    <col min="3" max="3" width="10.140625" style="25" customWidth="1"/>
    <col min="4" max="4" width="11" style="25" customWidth="1"/>
    <col min="5" max="5" width="10.42578125" style="25" customWidth="1"/>
    <col min="6" max="6" width="12.85546875" style="25" customWidth="1"/>
    <col min="7" max="7" width="12.7109375" style="25" customWidth="1"/>
    <col min="8" max="8" width="11.42578125" style="25" customWidth="1"/>
    <col min="9" max="9" width="8.85546875" style="25" bestFit="1" customWidth="1"/>
    <col min="10" max="12" width="8.85546875" style="25" customWidth="1"/>
    <col min="13" max="13" width="11" style="25" hidden="1" customWidth="1"/>
    <col min="14" max="16384" width="9.140625" style="25"/>
  </cols>
  <sheetData>
    <row r="1" spans="1:13" ht="19.5" x14ac:dyDescent="0.35">
      <c r="A1" s="199" t="s">
        <v>76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3" ht="15.75" thickBot="1" x14ac:dyDescent="0.3"/>
    <row r="3" spans="1:13" ht="39.75" customHeight="1" thickBot="1" x14ac:dyDescent="0.3">
      <c r="A3" s="218" t="s">
        <v>62</v>
      </c>
      <c r="B3" s="226" t="s">
        <v>38</v>
      </c>
      <c r="C3" s="227"/>
      <c r="D3" s="227"/>
      <c r="E3" s="227"/>
      <c r="F3" s="227"/>
      <c r="G3" s="227"/>
      <c r="H3" s="228"/>
      <c r="I3" s="206" t="s">
        <v>39</v>
      </c>
      <c r="J3" s="204"/>
      <c r="K3" s="204"/>
      <c r="L3" s="207"/>
    </row>
    <row r="4" spans="1:13" ht="27.75" customHeight="1" thickBot="1" x14ac:dyDescent="0.3">
      <c r="A4" s="219"/>
      <c r="B4" s="206" t="s">
        <v>23</v>
      </c>
      <c r="C4" s="204"/>
      <c r="D4" s="204"/>
      <c r="E4" s="204"/>
      <c r="F4" s="204"/>
      <c r="G4" s="204"/>
      <c r="H4" s="204"/>
      <c r="I4" s="206" t="s">
        <v>23</v>
      </c>
      <c r="J4" s="207"/>
      <c r="K4" s="206" t="s">
        <v>24</v>
      </c>
      <c r="L4" s="207"/>
    </row>
    <row r="5" spans="1:13" ht="36.75" thickBot="1" x14ac:dyDescent="0.3">
      <c r="A5" s="225"/>
      <c r="B5" s="84" t="s">
        <v>14</v>
      </c>
      <c r="C5" s="78" t="s">
        <v>15</v>
      </c>
      <c r="D5" s="37" t="s">
        <v>16</v>
      </c>
      <c r="E5" s="10" t="s">
        <v>22</v>
      </c>
      <c r="F5" s="10" t="s">
        <v>50</v>
      </c>
      <c r="G5" s="10" t="s">
        <v>51</v>
      </c>
      <c r="H5" s="78" t="s">
        <v>37</v>
      </c>
      <c r="I5" s="37" t="s">
        <v>16</v>
      </c>
      <c r="J5" s="37" t="s">
        <v>22</v>
      </c>
      <c r="K5" s="37" t="s">
        <v>16</v>
      </c>
      <c r="L5" s="37" t="s">
        <v>22</v>
      </c>
    </row>
    <row r="6" spans="1:13" x14ac:dyDescent="0.25">
      <c r="A6" s="15" t="s">
        <v>25</v>
      </c>
      <c r="B6" s="234">
        <v>2711.127</v>
      </c>
      <c r="C6" s="235">
        <v>204.018</v>
      </c>
      <c r="D6" s="235">
        <v>7590.8519999999999</v>
      </c>
      <c r="E6" s="235">
        <v>670.428</v>
      </c>
      <c r="F6" s="235">
        <f>15.506+49.025+13.443+18.242+1869.725</f>
        <v>1965.9409999999998</v>
      </c>
      <c r="G6" s="235">
        <f>437.93+199.192+1.792+468.502+2437.885</f>
        <v>3545.3010000000004</v>
      </c>
      <c r="H6" s="236">
        <f>101.264+39.08+1.21+119.07</f>
        <v>260.62400000000002</v>
      </c>
      <c r="I6" s="237">
        <v>161.82</v>
      </c>
      <c r="J6" s="238">
        <v>1.4510000000000001</v>
      </c>
      <c r="K6" s="143">
        <v>0.22900000000000001</v>
      </c>
      <c r="L6" s="147">
        <v>2E-3</v>
      </c>
      <c r="M6" s="54">
        <f>SUM(B6:J6)</f>
        <v>17111.561999999998</v>
      </c>
    </row>
    <row r="7" spans="1:13" x14ac:dyDescent="0.25">
      <c r="A7" s="16" t="s">
        <v>26</v>
      </c>
      <c r="B7" s="239">
        <v>2823.7460000000001</v>
      </c>
      <c r="C7" s="240">
        <v>213.917</v>
      </c>
      <c r="D7" s="240">
        <v>6828.3440000000001</v>
      </c>
      <c r="E7" s="240">
        <v>637.67600000000004</v>
      </c>
      <c r="F7" s="240">
        <f>13.559+55.155+18.106+18.613+1866.019</f>
        <v>1971.452</v>
      </c>
      <c r="G7" s="240">
        <f>380.335+210.681+8.63+472.253+1920.229</f>
        <v>2992.1279999999997</v>
      </c>
      <c r="H7" s="241">
        <f>94.917+40.26+1.21+106.712</f>
        <v>243.09899999999999</v>
      </c>
      <c r="I7" s="242">
        <v>150.554</v>
      </c>
      <c r="J7" s="243">
        <v>1.2829999999999999</v>
      </c>
      <c r="K7" s="144">
        <v>0.23400000000000001</v>
      </c>
      <c r="L7" s="148">
        <v>2E-3</v>
      </c>
      <c r="M7" s="54">
        <f t="shared" ref="M7:M17" si="0">SUM(B7:J7)</f>
        <v>15862.198999999999</v>
      </c>
    </row>
    <row r="8" spans="1:13" x14ac:dyDescent="0.25">
      <c r="A8" s="16" t="s">
        <v>27</v>
      </c>
      <c r="B8" s="239">
        <v>2947.06</v>
      </c>
      <c r="C8" s="240">
        <v>192.63200000000001</v>
      </c>
      <c r="D8" s="240">
        <v>7254.3069999999998</v>
      </c>
      <c r="E8" s="240">
        <v>567.34799999999996</v>
      </c>
      <c r="F8" s="240">
        <f>13.565+52.584+14.065+18.647+1807.403</f>
        <v>1906.2640000000001</v>
      </c>
      <c r="G8" s="240">
        <f>287.415+144.376+8.155+289.312+1503.107</f>
        <v>2232.3649999999998</v>
      </c>
      <c r="H8" s="241">
        <f>88.27+27.78+1.188+93.382</f>
        <v>210.62</v>
      </c>
      <c r="I8" s="242">
        <v>167.953</v>
      </c>
      <c r="J8" s="243">
        <v>1.4039999999999999</v>
      </c>
      <c r="K8" s="144">
        <v>0.23699999999999999</v>
      </c>
      <c r="L8" s="148">
        <v>2E-3</v>
      </c>
      <c r="M8" s="54">
        <f t="shared" si="0"/>
        <v>15479.953000000001</v>
      </c>
    </row>
    <row r="9" spans="1:13" x14ac:dyDescent="0.25">
      <c r="A9" s="16" t="s">
        <v>28</v>
      </c>
      <c r="B9" s="244">
        <v>2674.4720000000002</v>
      </c>
      <c r="C9" s="245">
        <v>141.45099999999999</v>
      </c>
      <c r="D9" s="245">
        <v>6408.6180000000004</v>
      </c>
      <c r="E9" s="245">
        <v>571.11699999999996</v>
      </c>
      <c r="F9" s="245">
        <v>1966.6679999999999</v>
      </c>
      <c r="G9" s="245">
        <v>2640.413</v>
      </c>
      <c r="H9" s="246">
        <v>208.04</v>
      </c>
      <c r="I9" s="247">
        <v>17.370999999999999</v>
      </c>
      <c r="J9" s="248">
        <v>1.37</v>
      </c>
      <c r="K9" s="93">
        <v>2.5000000000000001E-2</v>
      </c>
      <c r="L9" s="3">
        <v>2E-3</v>
      </c>
      <c r="M9" s="54">
        <f>SUM(B9:J9)</f>
        <v>14629.520000000002</v>
      </c>
    </row>
    <row r="10" spans="1:13" x14ac:dyDescent="0.25">
      <c r="A10" s="16" t="s">
        <v>29</v>
      </c>
      <c r="B10" s="249">
        <v>2426.7089999999998</v>
      </c>
      <c r="C10" s="250">
        <v>134.53399999999999</v>
      </c>
      <c r="D10" s="250">
        <v>5901.5510000000004</v>
      </c>
      <c r="E10" s="250">
        <v>496.64400000000001</v>
      </c>
      <c r="F10" s="250">
        <v>2165.89</v>
      </c>
      <c r="G10" s="250">
        <v>2000.394</v>
      </c>
      <c r="H10" s="251">
        <v>364.14299999999997</v>
      </c>
      <c r="I10" s="247">
        <v>16.416</v>
      </c>
      <c r="J10" s="248">
        <v>1.2609999999999999</v>
      </c>
      <c r="K10" s="93">
        <v>2.3E-2</v>
      </c>
      <c r="L10" s="3">
        <v>2E-3</v>
      </c>
      <c r="M10" s="54">
        <f>SUM(B10:J10)</f>
        <v>13507.541999999999</v>
      </c>
    </row>
    <row r="11" spans="1:13" x14ac:dyDescent="0.25">
      <c r="A11" s="16" t="s">
        <v>30</v>
      </c>
      <c r="B11" s="244">
        <v>1853.7439999999999</v>
      </c>
      <c r="C11" s="245">
        <v>71.162000000000006</v>
      </c>
      <c r="D11" s="245">
        <v>6593.0640000000003</v>
      </c>
      <c r="E11" s="245">
        <v>571.351</v>
      </c>
      <c r="F11" s="245">
        <v>2661.8440000000001</v>
      </c>
      <c r="G11" s="245">
        <v>2233.5549999999998</v>
      </c>
      <c r="H11" s="246">
        <v>202.81299999999999</v>
      </c>
      <c r="I11" s="247">
        <v>13.801</v>
      </c>
      <c r="J11" s="248">
        <v>1.2</v>
      </c>
      <c r="K11" s="93">
        <v>0.02</v>
      </c>
      <c r="L11" s="3">
        <v>2E-3</v>
      </c>
      <c r="M11" s="54">
        <f>SUM(B11:J11)</f>
        <v>14202.534000000001</v>
      </c>
    </row>
    <row r="12" spans="1:13" x14ac:dyDescent="0.25">
      <c r="A12" s="16" t="s">
        <v>31</v>
      </c>
      <c r="B12" s="244">
        <v>1766.828</v>
      </c>
      <c r="C12" s="245">
        <v>62.088999999999999</v>
      </c>
      <c r="D12" s="245">
        <v>6049.39</v>
      </c>
      <c r="E12" s="245">
        <v>1001.662</v>
      </c>
      <c r="F12" s="245">
        <f>12.733+46.986+0+8.238+9.885+1946.344</f>
        <v>2024.1860000000001</v>
      </c>
      <c r="G12" s="245">
        <f>91.101+65.885+8.583+73.319+1378.563</f>
        <v>1617.451</v>
      </c>
      <c r="H12" s="246">
        <v>203.708</v>
      </c>
      <c r="I12" s="247">
        <v>13.672000000000001</v>
      </c>
      <c r="J12" s="248">
        <v>1.2749999999999999</v>
      </c>
      <c r="K12" s="93">
        <v>1.9E-2</v>
      </c>
      <c r="L12" s="3">
        <v>2E-3</v>
      </c>
      <c r="M12" s="54">
        <f>SUM(B12:J12)</f>
        <v>12740.261</v>
      </c>
    </row>
    <row r="13" spans="1:13" x14ac:dyDescent="0.25">
      <c r="A13" s="16" t="s">
        <v>32</v>
      </c>
      <c r="B13" s="244">
        <v>2539.6550000000002</v>
      </c>
      <c r="C13" s="245">
        <v>67.688999999999993</v>
      </c>
      <c r="D13" s="245">
        <v>6310.6970000000001</v>
      </c>
      <c r="E13" s="245">
        <v>789.83799999999997</v>
      </c>
      <c r="F13" s="245">
        <f>12.67+46.87+7.668+9.885+1979.09</f>
        <v>2056.183</v>
      </c>
      <c r="G13" s="245">
        <f>79.831+75.468+5.579+71.584+1542.601</f>
        <v>1775.0630000000001</v>
      </c>
      <c r="H13" s="246">
        <v>209.9573</v>
      </c>
      <c r="I13" s="247">
        <v>7.5609999999999999</v>
      </c>
      <c r="J13" s="248">
        <v>1.2709999999999999</v>
      </c>
      <c r="K13" s="93">
        <v>1.2E-2</v>
      </c>
      <c r="L13" s="3">
        <v>2E-3</v>
      </c>
      <c r="M13" s="54">
        <f>SUM(B13:J13)</f>
        <v>13757.914300000002</v>
      </c>
    </row>
    <row r="14" spans="1:13" x14ac:dyDescent="0.25">
      <c r="A14" s="16" t="s">
        <v>33</v>
      </c>
      <c r="B14" s="244">
        <v>3789.2150000000001</v>
      </c>
      <c r="C14" s="245">
        <v>101.6</v>
      </c>
      <c r="D14" s="245">
        <v>5520.1059999999998</v>
      </c>
      <c r="E14" s="245">
        <v>731.63099999999997</v>
      </c>
      <c r="F14" s="245">
        <v>2062.277</v>
      </c>
      <c r="G14" s="245">
        <v>1949.9880000000001</v>
      </c>
      <c r="H14" s="246">
        <v>206.749</v>
      </c>
      <c r="I14" s="247">
        <v>13.981</v>
      </c>
      <c r="J14" s="248">
        <v>1.2270000000000001</v>
      </c>
      <c r="K14" s="93">
        <v>2.1999999999999999E-2</v>
      </c>
      <c r="L14" s="3">
        <v>2E-3</v>
      </c>
      <c r="M14" s="54">
        <f t="shared" si="0"/>
        <v>14376.773999999999</v>
      </c>
    </row>
    <row r="15" spans="1:13" x14ac:dyDescent="0.25">
      <c r="A15" s="16" t="s">
        <v>34</v>
      </c>
      <c r="B15" s="244">
        <v>2380.8249999999998</v>
      </c>
      <c r="C15" s="245">
        <v>148.01</v>
      </c>
      <c r="D15" s="245">
        <v>6232.1220000000003</v>
      </c>
      <c r="E15" s="245">
        <v>750.28499999999997</v>
      </c>
      <c r="F15" s="245">
        <v>2125.0369999999998</v>
      </c>
      <c r="G15" s="245">
        <v>2187.3290000000002</v>
      </c>
      <c r="H15" s="246">
        <v>231.58600000000001</v>
      </c>
      <c r="I15" s="247">
        <v>17.878</v>
      </c>
      <c r="J15" s="248">
        <v>1.361</v>
      </c>
      <c r="K15" s="93">
        <v>2.5000000000000001E-2</v>
      </c>
      <c r="L15" s="3">
        <v>2E-3</v>
      </c>
      <c r="M15" s="54">
        <f t="shared" si="0"/>
        <v>14074.433000000001</v>
      </c>
    </row>
    <row r="16" spans="1:13" x14ac:dyDescent="0.25">
      <c r="A16" s="16" t="s">
        <v>35</v>
      </c>
      <c r="B16" s="244">
        <v>2779.511</v>
      </c>
      <c r="C16" s="245">
        <v>185.64699999999999</v>
      </c>
      <c r="D16" s="245">
        <v>7467.3670000000002</v>
      </c>
      <c r="E16" s="245">
        <v>826.92700000000002</v>
      </c>
      <c r="F16" s="245">
        <v>2140.8670000000002</v>
      </c>
      <c r="G16" s="245">
        <v>3025.0330000000004</v>
      </c>
      <c r="H16" s="246">
        <v>228.995</v>
      </c>
      <c r="I16" s="247">
        <v>17.617999999999999</v>
      </c>
      <c r="J16" s="248">
        <v>1.361</v>
      </c>
      <c r="K16" s="93">
        <v>2.5000000000000001E-2</v>
      </c>
      <c r="L16" s="3">
        <v>2E-3</v>
      </c>
      <c r="M16" s="54">
        <f>SUM(B16:J16)</f>
        <v>16673.325999999997</v>
      </c>
    </row>
    <row r="17" spans="1:13" ht="15.75" thickBot="1" x14ac:dyDescent="0.3">
      <c r="A17" s="31" t="s">
        <v>36</v>
      </c>
      <c r="B17" s="252">
        <v>2932.2750000000001</v>
      </c>
      <c r="C17" s="253">
        <v>203.90600000000001</v>
      </c>
      <c r="D17" s="253">
        <v>8312.2549999999992</v>
      </c>
      <c r="E17" s="253">
        <v>949.505</v>
      </c>
      <c r="F17" s="253">
        <v>2098.21</v>
      </c>
      <c r="G17" s="253">
        <v>3830.0520000000001</v>
      </c>
      <c r="H17" s="254">
        <v>311.43200000000002</v>
      </c>
      <c r="I17" s="255">
        <v>48.064</v>
      </c>
      <c r="J17" s="256">
        <v>1.5149999999999999</v>
      </c>
      <c r="K17" s="145">
        <v>6.6000000000000003E-2</v>
      </c>
      <c r="L17" s="20">
        <v>2E-3</v>
      </c>
      <c r="M17" s="54">
        <f t="shared" si="0"/>
        <v>18687.213999999996</v>
      </c>
    </row>
    <row r="18" spans="1:13" ht="15.75" thickBot="1" x14ac:dyDescent="0.3">
      <c r="A18" s="42" t="s">
        <v>12</v>
      </c>
      <c r="B18" s="33">
        <f>SUM(B6:B17)</f>
        <v>31625.166999999998</v>
      </c>
      <c r="C18" s="33">
        <f t="shared" ref="C18:H18" si="1">SUM(C6:C17)</f>
        <v>1726.655</v>
      </c>
      <c r="D18" s="43">
        <f t="shared" si="1"/>
        <v>80468.67300000001</v>
      </c>
      <c r="E18" s="43">
        <f t="shared" si="1"/>
        <v>8564.4119999999984</v>
      </c>
      <c r="F18" s="43">
        <f t="shared" si="1"/>
        <v>25144.819000000003</v>
      </c>
      <c r="G18" s="43">
        <f t="shared" si="1"/>
        <v>30029.072</v>
      </c>
      <c r="H18" s="35">
        <f t="shared" si="1"/>
        <v>2881.7662999999993</v>
      </c>
      <c r="I18" s="146">
        <f>SUM(I6:I17)</f>
        <v>646.68900000000019</v>
      </c>
      <c r="J18" s="44">
        <f>SUM(J6:J17)</f>
        <v>15.979000000000003</v>
      </c>
      <c r="K18" s="146">
        <f t="shared" ref="K18:L18" si="2">SUM(K6:K17)</f>
        <v>0.93700000000000006</v>
      </c>
      <c r="L18" s="44">
        <f t="shared" si="2"/>
        <v>2.4000000000000007E-2</v>
      </c>
    </row>
    <row r="19" spans="1:13" x14ac:dyDescent="0.25">
      <c r="A19" s="177"/>
      <c r="B19" s="175"/>
      <c r="C19" s="175"/>
      <c r="D19" s="175"/>
      <c r="E19" s="178"/>
      <c r="F19" s="178"/>
      <c r="G19" s="178"/>
      <c r="H19" s="178"/>
      <c r="I19" s="178"/>
      <c r="J19" s="178"/>
    </row>
    <row r="22" spans="1:13" ht="15.75" x14ac:dyDescent="0.25">
      <c r="B22" s="36"/>
      <c r="C22" s="36"/>
      <c r="D22" s="36"/>
      <c r="E22" s="36"/>
      <c r="F22" s="36"/>
    </row>
  </sheetData>
  <mergeCells count="7">
    <mergeCell ref="A1:L1"/>
    <mergeCell ref="A3:A5"/>
    <mergeCell ref="B4:H4"/>
    <mergeCell ref="B3:H3"/>
    <mergeCell ref="I4:J4"/>
    <mergeCell ref="I3:L3"/>
    <mergeCell ref="K4:L4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7"/>
  <sheetViews>
    <sheetView view="pageBreakPreview" zoomScaleNormal="100" zoomScaleSheetLayoutView="100" workbookViewId="0">
      <selection activeCell="E31" sqref="E31"/>
    </sheetView>
  </sheetViews>
  <sheetFormatPr defaultRowHeight="15" x14ac:dyDescent="0.25"/>
  <cols>
    <col min="1" max="1" width="13.85546875" style="25" customWidth="1"/>
    <col min="2" max="3" width="13.140625" style="25" customWidth="1"/>
    <col min="4" max="4" width="13.5703125" style="25" customWidth="1"/>
    <col min="5" max="5" width="14.28515625" style="25" bestFit="1" customWidth="1"/>
    <col min="6" max="7" width="13.5703125" style="25" customWidth="1"/>
    <col min="8" max="8" width="14.28515625" style="25" bestFit="1" customWidth="1"/>
    <col min="9" max="9" width="18.28515625" style="25" hidden="1" customWidth="1"/>
    <col min="10" max="10" width="0" style="25" hidden="1" customWidth="1"/>
    <col min="11" max="16384" width="9.140625" style="25"/>
  </cols>
  <sheetData>
    <row r="1" spans="1:10" ht="15.75" x14ac:dyDescent="0.25">
      <c r="A1" s="233" t="s">
        <v>75</v>
      </c>
      <c r="B1" s="233"/>
      <c r="C1" s="233"/>
      <c r="D1" s="233"/>
      <c r="E1" s="233"/>
      <c r="F1" s="233"/>
      <c r="G1" s="233"/>
      <c r="H1" s="233"/>
    </row>
    <row r="2" spans="1:10" ht="15.75" thickBot="1" x14ac:dyDescent="0.3"/>
    <row r="3" spans="1:10" ht="15.75" thickBot="1" x14ac:dyDescent="0.3">
      <c r="A3" s="218" t="s">
        <v>62</v>
      </c>
      <c r="B3" s="206" t="s">
        <v>40</v>
      </c>
      <c r="C3" s="204"/>
      <c r="D3" s="204"/>
      <c r="E3" s="204"/>
      <c r="F3" s="204"/>
      <c r="G3" s="204"/>
      <c r="H3" s="207"/>
      <c r="I3" s="229" t="s">
        <v>53</v>
      </c>
    </row>
    <row r="4" spans="1:10" ht="15.75" thickBot="1" x14ac:dyDescent="0.3">
      <c r="A4" s="219"/>
      <c r="B4" s="230" t="s">
        <v>41</v>
      </c>
      <c r="C4" s="231"/>
      <c r="D4" s="232"/>
      <c r="E4" s="203" t="s">
        <v>66</v>
      </c>
      <c r="F4" s="204"/>
      <c r="G4" s="205"/>
      <c r="H4" s="218" t="s">
        <v>12</v>
      </c>
      <c r="I4" s="229"/>
    </row>
    <row r="5" spans="1:10" ht="15.75" thickBot="1" x14ac:dyDescent="0.3">
      <c r="A5" s="225"/>
      <c r="B5" s="26" t="s">
        <v>14</v>
      </c>
      <c r="C5" s="27" t="s">
        <v>15</v>
      </c>
      <c r="D5" s="28" t="s">
        <v>16</v>
      </c>
      <c r="E5" s="26" t="s">
        <v>14</v>
      </c>
      <c r="F5" s="27" t="s">
        <v>15</v>
      </c>
      <c r="G5" s="28" t="s">
        <v>16</v>
      </c>
      <c r="H5" s="219"/>
      <c r="I5" s="229"/>
    </row>
    <row r="6" spans="1:10" x14ac:dyDescent="0.25">
      <c r="A6" s="15" t="s">
        <v>25</v>
      </c>
      <c r="B6" s="22">
        <f>49.822+98.103</f>
        <v>147.92500000000001</v>
      </c>
      <c r="C6" s="23">
        <f>1.08+2.128</f>
        <v>3.2080000000000002</v>
      </c>
      <c r="D6" s="24">
        <f>16.743+32.969</f>
        <v>49.712000000000003</v>
      </c>
      <c r="E6" s="155">
        <f>157329.71+294576.23</f>
        <v>451905.93999999994</v>
      </c>
      <c r="F6" s="156">
        <f>3410.46+6389.8</f>
        <v>9800.26</v>
      </c>
      <c r="G6" s="157">
        <f>52871.65+98996.81</f>
        <v>151868.46</v>
      </c>
      <c r="H6" s="150">
        <f>SUM(E6:G6)</f>
        <v>613574.65999999992</v>
      </c>
      <c r="I6" s="54">
        <f>Прием!O6-'Отдача ТСО'!M6-'Отдача ЭСО'!Q6-'Отдача ГП'!M6</f>
        <v>200.84500000000116</v>
      </c>
      <c r="J6" s="54">
        <f t="shared" ref="J6:J14" si="0">B6+C6+D6-I6</f>
        <v>-1.1368683772161603E-12</v>
      </c>
    </row>
    <row r="7" spans="1:10" x14ac:dyDescent="0.25">
      <c r="A7" s="16" t="s">
        <v>26</v>
      </c>
      <c r="B7" s="97">
        <f>67.822+67.326</f>
        <v>135.148</v>
      </c>
      <c r="C7" s="98">
        <f>1.559+1.547</f>
        <v>3.1059999999999999</v>
      </c>
      <c r="D7" s="18">
        <f>20.979+20.827</f>
        <v>41.805999999999997</v>
      </c>
      <c r="E7" s="158">
        <f>196874.02+39374.8+248509.31</f>
        <v>484758.13</v>
      </c>
      <c r="F7" s="159">
        <f>5712.4+4523.72+904.74</f>
        <v>11140.859999999999</v>
      </c>
      <c r="G7" s="160">
        <f>76870+60902.11+12180.42</f>
        <v>149952.53</v>
      </c>
      <c r="H7" s="151">
        <f>SUM(E7:G7)</f>
        <v>645851.52</v>
      </c>
      <c r="I7" s="54">
        <f>Прием!O7-'Отдача ТСО'!M7-'Отдача ЭСО'!Q7-'Отдача ГП'!M7</f>
        <v>180.05999999999585</v>
      </c>
      <c r="J7" s="54">
        <f t="shared" si="0"/>
        <v>4.1495695768389851E-12</v>
      </c>
    </row>
    <row r="8" spans="1:10" x14ac:dyDescent="0.25">
      <c r="A8" s="16" t="s">
        <v>27</v>
      </c>
      <c r="B8" s="93">
        <f>168.982+82.621</f>
        <v>251.60300000000001</v>
      </c>
      <c r="C8" s="12">
        <f>3.598+1.759</f>
        <v>5.3569999999999993</v>
      </c>
      <c r="D8" s="3">
        <f>50.558+24.72</f>
        <v>75.277999999999992</v>
      </c>
      <c r="E8" s="161">
        <f>558658.55+260331.5</f>
        <v>818990.05</v>
      </c>
      <c r="F8" s="162">
        <f>11895.07+5542.45</f>
        <v>17437.52</v>
      </c>
      <c r="G8" s="163">
        <f>167145.96+77890.55</f>
        <v>245036.51</v>
      </c>
      <c r="H8" s="152">
        <f t="shared" ref="H8:H17" si="1">SUM(E8:G8)</f>
        <v>1081464.08</v>
      </c>
      <c r="I8" s="54">
        <f>Прием!O8-'Отдача ТСО'!M8-'Отдача ЭСО'!Q8-'Отдача ГП'!M8</f>
        <v>332.23800000000301</v>
      </c>
      <c r="J8" s="54">
        <f t="shared" si="0"/>
        <v>-2.9558577807620168E-12</v>
      </c>
    </row>
    <row r="9" spans="1:10" x14ac:dyDescent="0.25">
      <c r="A9" s="16" t="s">
        <v>28</v>
      </c>
      <c r="B9" s="93">
        <f>139.697+59.155</f>
        <v>198.852</v>
      </c>
      <c r="C9" s="12">
        <f>2.692+1.14</f>
        <v>3.8319999999999999</v>
      </c>
      <c r="D9" s="3">
        <f>37.087+15.705</f>
        <v>52.792000000000002</v>
      </c>
      <c r="E9" s="161">
        <f>450915.1+185741.96</f>
        <v>636657.05999999994</v>
      </c>
      <c r="F9" s="162">
        <f>8689.26+3579.5</f>
        <v>12268.76</v>
      </c>
      <c r="G9" s="163">
        <f>119709.72+49312.44</f>
        <v>169022.16</v>
      </c>
      <c r="H9" s="152">
        <f t="shared" si="1"/>
        <v>817947.98</v>
      </c>
      <c r="I9" s="54">
        <f>Прием!O9-'Отдача ТСО'!M9-'Отдача ЭСО'!Q9-'Отдача ГП'!M9</f>
        <v>255.47599999999511</v>
      </c>
      <c r="J9" s="54">
        <f t="shared" si="0"/>
        <v>4.8885340220294893E-12</v>
      </c>
    </row>
    <row r="10" spans="1:10" x14ac:dyDescent="0.25">
      <c r="A10" s="16" t="s">
        <v>29</v>
      </c>
      <c r="B10" s="93">
        <f>90.097+47.771</f>
        <v>137.86799999999999</v>
      </c>
      <c r="C10" s="12">
        <f>1.575+0.835</f>
        <v>2.41</v>
      </c>
      <c r="D10" s="3">
        <f>26.581+14.094</f>
        <v>40.674999999999997</v>
      </c>
      <c r="E10" s="161">
        <f>278952.2+143706.83</f>
        <v>422659.03</v>
      </c>
      <c r="F10" s="162">
        <f>4876.4+2511.89</f>
        <v>7388.2899999999991</v>
      </c>
      <c r="G10" s="163">
        <f>82298.28+42398.2</f>
        <v>124696.48</v>
      </c>
      <c r="H10" s="152">
        <f t="shared" si="1"/>
        <v>554743.80000000005</v>
      </c>
      <c r="I10" s="54">
        <f>Прием!O10-'Отдача ТСО'!M10-'Отдача ЭСО'!Q10-'Отдача ГП'!M10</f>
        <v>180.9529999999977</v>
      </c>
      <c r="J10" s="54">
        <f t="shared" si="0"/>
        <v>2.2737367544323206E-12</v>
      </c>
    </row>
    <row r="11" spans="1:10" x14ac:dyDescent="0.25">
      <c r="A11" s="16" t="s">
        <v>30</v>
      </c>
      <c r="B11" s="93">
        <f>62.891+34.869</f>
        <v>97.759999999999991</v>
      </c>
      <c r="C11" s="12">
        <f>0.847+0.47</f>
        <v>1.3169999999999999</v>
      </c>
      <c r="D11" s="3">
        <f>25.722+14.261</f>
        <v>39.983000000000004</v>
      </c>
      <c r="E11" s="161">
        <f>179117.84+96244.72</f>
        <v>275362.56</v>
      </c>
      <c r="F11" s="162">
        <f>2412.31+1297.28</f>
        <v>3709.59</v>
      </c>
      <c r="G11" s="163">
        <f>73258.01+39362.93</f>
        <v>112620.94</v>
      </c>
      <c r="H11" s="152">
        <f t="shared" si="1"/>
        <v>391693.09</v>
      </c>
      <c r="I11" s="54">
        <f>Прием!O11-'Отдача ТСО'!M11-'Отдача ЭСО'!Q11-'Отдача ГП'!M11</f>
        <v>139.06000000000313</v>
      </c>
      <c r="J11" s="54">
        <f t="shared" si="0"/>
        <v>-3.1263880373444408E-12</v>
      </c>
    </row>
    <row r="12" spans="1:10" x14ac:dyDescent="0.25">
      <c r="A12" s="16" t="s">
        <v>31</v>
      </c>
      <c r="B12" s="93">
        <f>45.543+37.739</f>
        <v>83.281999999999996</v>
      </c>
      <c r="C12" s="12">
        <f>0.547+0.454</f>
        <v>1.0010000000000001</v>
      </c>
      <c r="D12" s="3">
        <f>13.405+11.107</f>
        <v>24.512</v>
      </c>
      <c r="E12" s="161">
        <f>126249.02+101298.88</f>
        <v>227547.90000000002</v>
      </c>
      <c r="F12" s="162">
        <f>1516.33+1218.62</f>
        <v>2734.95</v>
      </c>
      <c r="G12" s="163">
        <f>37159.79+29813.36</f>
        <v>66973.149999999994</v>
      </c>
      <c r="H12" s="152">
        <f t="shared" si="1"/>
        <v>297256</v>
      </c>
      <c r="I12" s="54">
        <f>Прием!O12-'Отдача ТСО'!M12-'Отдача ЭСО'!Q12-'Отдача ГП'!M12</f>
        <v>108.79500000000553</v>
      </c>
      <c r="J12" s="54">
        <f t="shared" si="0"/>
        <v>-5.5280224842135794E-12</v>
      </c>
    </row>
    <row r="13" spans="1:10" x14ac:dyDescent="0.25">
      <c r="A13" s="16" t="s">
        <v>32</v>
      </c>
      <c r="B13" s="93">
        <f>43.272+42.743</f>
        <v>86.015000000000001</v>
      </c>
      <c r="C13" s="12">
        <f>0.552+0.546</f>
        <v>1.0980000000000001</v>
      </c>
      <c r="D13" s="3">
        <f>12.262+12.111</f>
        <v>24.373000000000001</v>
      </c>
      <c r="E13" s="161">
        <f>109840.43+104741.04</f>
        <v>214581.46999999997</v>
      </c>
      <c r="F13" s="162">
        <f>1401.18+1337.96</f>
        <v>2739.1400000000003</v>
      </c>
      <c r="G13" s="163">
        <f>31125.52+29677.81</f>
        <v>60803.33</v>
      </c>
      <c r="H13" s="152">
        <f t="shared" si="1"/>
        <v>278123.94</v>
      </c>
      <c r="I13" s="54">
        <f>Прием!O13-'Отдача ТСО'!M13-'Отдача ЭСО'!Q13-'Отдача ГП'!M13</f>
        <v>111.4860000000026</v>
      </c>
      <c r="J13" s="54">
        <f t="shared" si="0"/>
        <v>-2.6005864128819667E-12</v>
      </c>
    </row>
    <row r="14" spans="1:10" x14ac:dyDescent="0.25">
      <c r="A14" s="16" t="s">
        <v>33</v>
      </c>
      <c r="B14" s="93">
        <v>91.337000000000003</v>
      </c>
      <c r="C14" s="12">
        <v>1.218</v>
      </c>
      <c r="D14" s="3">
        <v>22.975999999999999</v>
      </c>
      <c r="E14" s="161">
        <f>1.2*221998.24</f>
        <v>266397.88799999998</v>
      </c>
      <c r="F14" s="162">
        <f>1.2*2959.38</f>
        <v>3551.2559999999999</v>
      </c>
      <c r="G14" s="163">
        <f>1.2*55824.64</f>
        <v>66989.567999999999</v>
      </c>
      <c r="H14" s="152">
        <f t="shared" si="1"/>
        <v>336938.71199999994</v>
      </c>
      <c r="I14" s="54">
        <f>Прием!O14-'Отдача ТСО'!M14-'Отдача ЭСО'!Q14-'Отдача ГП'!M14</f>
        <v>115.53099999999358</v>
      </c>
      <c r="J14" s="54">
        <f t="shared" si="0"/>
        <v>6.4233063312713057E-12</v>
      </c>
    </row>
    <row r="15" spans="1:10" x14ac:dyDescent="0.25">
      <c r="A15" s="16" t="s">
        <v>34</v>
      </c>
      <c r="B15" s="1">
        <v>157.499</v>
      </c>
      <c r="C15" s="2">
        <v>2.1259999999999999</v>
      </c>
      <c r="D15" s="3">
        <v>33.256999999999998</v>
      </c>
      <c r="E15" s="164">
        <f>1.2*351379.85</f>
        <v>421655.81999999995</v>
      </c>
      <c r="F15" s="165">
        <f>1.2*4743.07</f>
        <v>5691.6839999999993</v>
      </c>
      <c r="G15" s="163">
        <f>1.2*74196.29</f>
        <v>89035.547999999995</v>
      </c>
      <c r="H15" s="152">
        <f t="shared" si="1"/>
        <v>516383.05199999997</v>
      </c>
      <c r="I15" s="54">
        <f>Прием!O15-'Отдача ТСО'!M15-'Отдача ЭСО'!Q15-'Отдача ГП'!M15</f>
        <v>192.88200000000143</v>
      </c>
      <c r="J15" s="54">
        <f>B15+C15+D15-I15</f>
        <v>-1.4210854715202004E-12</v>
      </c>
    </row>
    <row r="16" spans="1:10" x14ac:dyDescent="0.25">
      <c r="A16" s="16" t="s">
        <v>35</v>
      </c>
      <c r="B16" s="1">
        <v>197.18559999999999</v>
      </c>
      <c r="C16" s="2">
        <v>2.9060000000000001</v>
      </c>
      <c r="D16" s="3">
        <v>42.36</v>
      </c>
      <c r="E16" s="164">
        <f>322507.33+282304.16</f>
        <v>604811.49</v>
      </c>
      <c r="F16" s="165">
        <f>4753.45+4159.88</f>
        <v>8913.33</v>
      </c>
      <c r="G16" s="163">
        <f>69281.04+60646.09</f>
        <v>129927.12999999999</v>
      </c>
      <c r="H16" s="152">
        <f>SUM(E16:G16)</f>
        <v>743651.95</v>
      </c>
      <c r="I16" s="54">
        <f>Прием!O16-'Отдача ТСО'!M16-'Отдача ЭСО'!Q16-'Отдача ГП'!M16</f>
        <v>242.45200000000477</v>
      </c>
      <c r="J16" s="54">
        <f t="shared" ref="J16:J17" si="2">B16+C16+D16-I16</f>
        <v>-4.0000000478812581E-4</v>
      </c>
    </row>
    <row r="17" spans="1:10" ht="15.75" thickBot="1" x14ac:dyDescent="0.3">
      <c r="A17" s="31" t="s">
        <v>36</v>
      </c>
      <c r="B17" s="17">
        <f>157.477+122.306</f>
        <v>279.78300000000002</v>
      </c>
      <c r="C17" s="19">
        <f>2.271+1.763</f>
        <v>4.0339999999999998</v>
      </c>
      <c r="D17" s="20">
        <f>34.545+26.831</f>
        <v>61.376000000000005</v>
      </c>
      <c r="E17" s="166">
        <f>487977.76+368243.3</f>
        <v>856221.06</v>
      </c>
      <c r="F17" s="167">
        <f>7037.21+5308.1</f>
        <v>12345.310000000001</v>
      </c>
      <c r="G17" s="168">
        <f>107045.42+80783.74</f>
        <v>187829.16</v>
      </c>
      <c r="H17" s="153">
        <f t="shared" si="1"/>
        <v>1056395.53</v>
      </c>
      <c r="I17" s="54">
        <f>Прием!O17-'Отдача ТСО'!M17-'Отдача ЭСО'!Q17-'Отдача ГП'!M17</f>
        <v>345.1929999999993</v>
      </c>
      <c r="J17" s="54">
        <f t="shared" si="2"/>
        <v>6.8212102632969618E-13</v>
      </c>
    </row>
    <row r="18" spans="1:10" ht="15.75" thickBot="1" x14ac:dyDescent="0.3">
      <c r="A18" s="32" t="s">
        <v>12</v>
      </c>
      <c r="B18" s="33">
        <f>SUM(B6:B17)</f>
        <v>1864.2575999999999</v>
      </c>
      <c r="C18" s="34">
        <f t="shared" ref="C18:D18" si="3">SUM(C6:C17)</f>
        <v>31.613</v>
      </c>
      <c r="D18" s="35">
        <f t="shared" si="3"/>
        <v>509.1</v>
      </c>
      <c r="E18" s="169">
        <f>SUM(E6:E17)</f>
        <v>5681548.398</v>
      </c>
      <c r="F18" s="170">
        <f t="shared" ref="F18:G18" si="4">SUM(F6:F17)</f>
        <v>97720.949999999983</v>
      </c>
      <c r="G18" s="171">
        <f t="shared" si="4"/>
        <v>1554754.9659999998</v>
      </c>
      <c r="H18" s="154">
        <f>SUM(H6:H17)</f>
        <v>7334024.3140000012</v>
      </c>
    </row>
    <row r="22" spans="1:10" ht="15.75" x14ac:dyDescent="0.25">
      <c r="B22" s="36"/>
      <c r="C22" s="36"/>
      <c r="D22" s="36"/>
      <c r="E22" s="36"/>
      <c r="F22" s="36"/>
      <c r="G22" s="36"/>
      <c r="H22" s="36"/>
    </row>
    <row r="25" spans="1:10" x14ac:dyDescent="0.25">
      <c r="B25" s="54"/>
    </row>
    <row r="27" spans="1:10" x14ac:dyDescent="0.25">
      <c r="B27" s="184"/>
      <c r="C27" s="184"/>
      <c r="D27" s="184"/>
    </row>
  </sheetData>
  <mergeCells count="7">
    <mergeCell ref="I3:I5"/>
    <mergeCell ref="A3:A5"/>
    <mergeCell ref="B4:D4"/>
    <mergeCell ref="A1:H1"/>
    <mergeCell ref="E4:G4"/>
    <mergeCell ref="B3:H3"/>
    <mergeCell ref="H4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Прием</vt:lpstr>
      <vt:lpstr>Отдача ТСО</vt:lpstr>
      <vt:lpstr>Отдача ЭСО</vt:lpstr>
      <vt:lpstr>Отдача ГП</vt:lpstr>
      <vt:lpstr>Потери ГП</vt:lpstr>
      <vt:lpstr>'Отдача ГП'!Область_печати</vt:lpstr>
      <vt:lpstr>'Отдача ТСО'!Область_печати</vt:lpstr>
      <vt:lpstr>'Отдача ЭСО'!Область_печати</vt:lpstr>
      <vt:lpstr>'Потери ГП'!Область_печати</vt:lpstr>
      <vt:lpstr>Прием!Область_печати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2024-02-01T02:53:51Z</dcterms:modified>
</cp:coreProperties>
</file>