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raschet\_Сведения для сайта\"/>
    </mc:Choice>
  </mc:AlternateContent>
  <xr:revisionPtr revIDLastSave="0" documentId="13_ncr:1_{36030F57-50A7-4E2F-9181-559FD9CF6432}" xr6:coauthVersionLast="45" xr6:coauthVersionMax="45" xr10:uidLastSave="{00000000-0000-0000-0000-000000000000}"/>
  <bookViews>
    <workbookView xWindow="-120" yWindow="-120" windowWidth="29040" windowHeight="15840" tabRatio="729" xr2:uid="{00000000-000D-0000-FFFF-FFFF00000000}"/>
  </bookViews>
  <sheets>
    <sheet name="КЭС" sheetId="3" r:id="rId1"/>
    <sheet name="Потери" sheetId="5" r:id="rId2"/>
    <sheet name="ТСО Красноярск" sheetId="2" r:id="rId3"/>
    <sheet name="РСК сбыт" sheetId="9" r:id="rId4"/>
    <sheet name="ПрофСервисТрейд" sheetId="10" r:id="rId5"/>
    <sheet name="Главэнергосбыт" sheetId="13" r:id="rId6"/>
    <sheet name="Мосэнергосбыт" sheetId="14" r:id="rId7"/>
    <sheet name="КрасКом" sheetId="15" r:id="rId8"/>
    <sheet name="МагнитЭнерго" sheetId="16" r:id="rId9"/>
    <sheet name="Промэнергосбыт" sheetId="17" r:id="rId10"/>
  </sheets>
  <definedNames>
    <definedName name="_xlnm.Print_Area" localSheetId="5">Главэнергосбыт!$A$1:$O$24</definedName>
    <definedName name="_xlnm.Print_Area" localSheetId="7">КрасКом!$A$1:$O$25</definedName>
    <definedName name="_xlnm.Print_Area" localSheetId="0">КЭС!$A$1:$S$46</definedName>
    <definedName name="_xlnm.Print_Area" localSheetId="8">МагнитЭнерго!$A$1:$O$24</definedName>
    <definedName name="_xlnm.Print_Area" localSheetId="6">Мосэнергосбыт!$A$1:$O$25</definedName>
    <definedName name="_xlnm.Print_Area" localSheetId="1">Потери!$A$1:$J$24</definedName>
    <definedName name="_xlnm.Print_Area" localSheetId="9">Промэнергосбыт!$A$1:$O$24</definedName>
    <definedName name="_xlnm.Print_Area" localSheetId="4">ПрофСервисТрейд!$A$1:$O$42</definedName>
    <definedName name="_xlnm.Print_Area" localSheetId="3">'РСК сбыт'!$A$1:$O$22</definedName>
    <definedName name="_xlnm.Print_Area" localSheetId="2">'ТСО Красноярск'!$A$1:$CW$40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5" l="1"/>
  <c r="E7" i="5"/>
  <c r="I17" i="2" l="1"/>
  <c r="J17" i="2" s="1"/>
  <c r="I16" i="2"/>
  <c r="J16" i="2" s="1"/>
  <c r="O17" i="9" l="1"/>
  <c r="O12" i="9"/>
  <c r="O9" i="9"/>
  <c r="O12" i="10" l="1"/>
  <c r="H27" i="10"/>
  <c r="H26" i="10"/>
  <c r="O12" i="14"/>
  <c r="D19" i="5" l="1"/>
  <c r="C19" i="5"/>
  <c r="B19" i="5"/>
  <c r="O15" i="9" l="1"/>
  <c r="CX37" i="2"/>
  <c r="CX18" i="2"/>
  <c r="Q38" i="3"/>
  <c r="S37" i="3"/>
  <c r="Q37" i="3"/>
  <c r="AP34" i="2" l="1"/>
  <c r="I15" i="2"/>
  <c r="J15" i="2" s="1"/>
  <c r="I14" i="2"/>
  <c r="J14" i="2" s="1"/>
  <c r="I13" i="2"/>
  <c r="J13" i="2" s="1"/>
  <c r="S34" i="3" l="1"/>
  <c r="S36" i="3"/>
  <c r="R27" i="3"/>
  <c r="R28" i="3"/>
  <c r="R29" i="3"/>
  <c r="R30" i="3"/>
  <c r="R31" i="3"/>
  <c r="R32" i="3"/>
  <c r="R33" i="3"/>
  <c r="R34" i="3"/>
  <c r="R35" i="3"/>
  <c r="R36" i="3"/>
  <c r="Q32" i="3"/>
  <c r="Q33" i="3"/>
  <c r="Q34" i="3"/>
  <c r="Q35" i="3"/>
  <c r="Q36" i="3"/>
  <c r="Q29" i="3"/>
  <c r="Q30" i="3"/>
  <c r="Q31" i="3"/>
  <c r="Q28" i="3"/>
  <c r="Q27" i="3"/>
  <c r="O10" i="14" l="1"/>
  <c r="O9" i="14"/>
  <c r="J12" i="2" l="1"/>
  <c r="I10" i="2"/>
  <c r="J10" i="2" s="1"/>
  <c r="I11" i="2"/>
  <c r="J11" i="2" s="1"/>
  <c r="I12" i="2"/>
  <c r="S33" i="3" l="1"/>
  <c r="O12" i="3"/>
  <c r="S31" i="3"/>
  <c r="F17" i="17" l="1"/>
  <c r="E17" i="17"/>
  <c r="C17" i="17"/>
  <c r="B17" i="17"/>
  <c r="G16" i="17"/>
  <c r="H16" i="17" s="1"/>
  <c r="D16" i="17"/>
  <c r="G15" i="17"/>
  <c r="H15" i="17" s="1"/>
  <c r="D15" i="17"/>
  <c r="G14" i="17"/>
  <c r="H14" i="17" s="1"/>
  <c r="D14" i="17"/>
  <c r="G13" i="17"/>
  <c r="H13" i="17" s="1"/>
  <c r="D13" i="17"/>
  <c r="G12" i="17"/>
  <c r="H12" i="17" s="1"/>
  <c r="D12" i="17"/>
  <c r="G11" i="17"/>
  <c r="H11" i="17" s="1"/>
  <c r="D11" i="17"/>
  <c r="G10" i="17"/>
  <c r="H10" i="17" s="1"/>
  <c r="D10" i="17"/>
  <c r="G9" i="17"/>
  <c r="H9" i="17" s="1"/>
  <c r="D9" i="17"/>
  <c r="H8" i="17"/>
  <c r="G8" i="17"/>
  <c r="D8" i="17"/>
  <c r="G7" i="17"/>
  <c r="H7" i="17" s="1"/>
  <c r="D7" i="17"/>
  <c r="G6" i="17"/>
  <c r="H6" i="17" s="1"/>
  <c r="D6" i="17"/>
  <c r="G5" i="17"/>
  <c r="H5" i="17" s="1"/>
  <c r="D5" i="17"/>
  <c r="F17" i="16"/>
  <c r="E17" i="16"/>
  <c r="C17" i="16"/>
  <c r="B17" i="16"/>
  <c r="G16" i="16"/>
  <c r="H16" i="16" s="1"/>
  <c r="D16" i="16"/>
  <c r="G15" i="16"/>
  <c r="H15" i="16" s="1"/>
  <c r="D15" i="16"/>
  <c r="G14" i="16"/>
  <c r="H14" i="16" s="1"/>
  <c r="D14" i="16"/>
  <c r="G13" i="16"/>
  <c r="H13" i="16" s="1"/>
  <c r="D13" i="16"/>
  <c r="G12" i="16"/>
  <c r="H12" i="16" s="1"/>
  <c r="D12" i="16"/>
  <c r="G11" i="16"/>
  <c r="H11" i="16" s="1"/>
  <c r="D11" i="16"/>
  <c r="G10" i="16"/>
  <c r="H10" i="16" s="1"/>
  <c r="D10" i="16"/>
  <c r="G9" i="16"/>
  <c r="H9" i="16" s="1"/>
  <c r="D9" i="16"/>
  <c r="G8" i="16"/>
  <c r="H8" i="16" s="1"/>
  <c r="D8" i="16"/>
  <c r="G7" i="16"/>
  <c r="H7" i="16" s="1"/>
  <c r="D7" i="16"/>
  <c r="G6" i="16"/>
  <c r="H6" i="16" s="1"/>
  <c r="D6" i="16"/>
  <c r="G5" i="16"/>
  <c r="H5" i="16" s="1"/>
  <c r="D5" i="16"/>
  <c r="O8" i="10"/>
  <c r="O7" i="10"/>
  <c r="O6" i="10"/>
  <c r="H23" i="10"/>
  <c r="O5" i="10"/>
  <c r="G5" i="10"/>
  <c r="O8" i="9"/>
  <c r="M8" i="9"/>
  <c r="O7" i="9"/>
  <c r="O6" i="9"/>
  <c r="N6" i="9"/>
  <c r="M6" i="9"/>
  <c r="O5" i="9"/>
  <c r="M5" i="9"/>
  <c r="CX26" i="2"/>
  <c r="CX27" i="2"/>
  <c r="CX28" i="2"/>
  <c r="CX25" i="2"/>
  <c r="CD37" i="2"/>
  <c r="CC37" i="2"/>
  <c r="CB37" i="2"/>
  <c r="CA37" i="2"/>
  <c r="BY37" i="2"/>
  <c r="BX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W37" i="2"/>
  <c r="BV37" i="2"/>
  <c r="BU37" i="2"/>
  <c r="BT37" i="2"/>
  <c r="BR37" i="2"/>
  <c r="BQ37" i="2"/>
  <c r="BS36" i="2"/>
  <c r="BS35" i="2"/>
  <c r="BS34" i="2"/>
  <c r="BS33" i="2"/>
  <c r="BS32" i="2"/>
  <c r="BS31" i="2"/>
  <c r="BS30" i="2"/>
  <c r="BS29" i="2"/>
  <c r="BS28" i="2"/>
  <c r="BS27" i="2"/>
  <c r="BS26" i="2"/>
  <c r="BS25" i="2"/>
  <c r="BP37" i="2"/>
  <c r="BO37" i="2"/>
  <c r="BN37" i="2"/>
  <c r="BM37" i="2"/>
  <c r="BK37" i="2"/>
  <c r="BJ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I37" i="2"/>
  <c r="BH37" i="2"/>
  <c r="BG37" i="2"/>
  <c r="BF37" i="2"/>
  <c r="BD37" i="2"/>
  <c r="BC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D17" i="17" l="1"/>
  <c r="BS37" i="2"/>
  <c r="BE37" i="2"/>
  <c r="H17" i="17"/>
  <c r="G17" i="17"/>
  <c r="D17" i="16"/>
  <c r="G17" i="16"/>
  <c r="H17" i="16"/>
  <c r="BZ37" i="2"/>
  <c r="BL37" i="2"/>
  <c r="CW18" i="2" l="1"/>
  <c r="CV18" i="2"/>
  <c r="CU18" i="2"/>
  <c r="CT18" i="2"/>
  <c r="CR18" i="2"/>
  <c r="CQ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P18" i="2"/>
  <c r="CO18" i="2"/>
  <c r="CN18" i="2"/>
  <c r="CM18" i="2"/>
  <c r="CK18" i="2"/>
  <c r="CJ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I18" i="2"/>
  <c r="CH18" i="2"/>
  <c r="CG18" i="2"/>
  <c r="CF18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B18" i="2"/>
  <c r="CA18" i="2"/>
  <c r="BZ18" i="2"/>
  <c r="BY18" i="2"/>
  <c r="BW18" i="2"/>
  <c r="BV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I6" i="2"/>
  <c r="J6" i="2" s="1"/>
  <c r="I7" i="2"/>
  <c r="J7" i="2" s="1"/>
  <c r="I8" i="2"/>
  <c r="J8" i="2" s="1"/>
  <c r="I9" i="2"/>
  <c r="J9" i="2" s="1"/>
  <c r="CE18" i="2" l="1"/>
  <c r="BX18" i="2"/>
  <c r="CS18" i="2"/>
  <c r="CL18" i="2"/>
  <c r="O10" i="3"/>
  <c r="S30" i="3"/>
  <c r="P30" i="3"/>
  <c r="O30" i="3"/>
  <c r="N30" i="3"/>
  <c r="H30" i="3"/>
  <c r="G30" i="3"/>
  <c r="F30" i="3"/>
  <c r="O9" i="3"/>
  <c r="S27" i="3"/>
  <c r="S29" i="3"/>
  <c r="P29" i="3"/>
  <c r="O29" i="3"/>
  <c r="N29" i="3"/>
  <c r="H29" i="3"/>
  <c r="G29" i="3"/>
  <c r="F29" i="3"/>
  <c r="O8" i="3"/>
  <c r="O7" i="3"/>
  <c r="S28" i="3"/>
  <c r="P28" i="3"/>
  <c r="O28" i="3"/>
  <c r="N28" i="3"/>
  <c r="H28" i="3"/>
  <c r="G28" i="3"/>
  <c r="F28" i="3"/>
  <c r="P27" i="3"/>
  <c r="O27" i="3"/>
  <c r="N27" i="3"/>
  <c r="G27" i="3"/>
  <c r="H27" i="3"/>
  <c r="I27" i="3" s="1"/>
  <c r="F27" i="3"/>
  <c r="M15" i="10" l="1"/>
  <c r="N15" i="9"/>
  <c r="M35" i="2"/>
  <c r="M14" i="9" l="1"/>
  <c r="AX33" i="2"/>
  <c r="T33" i="2"/>
  <c r="M13" i="3" l="1"/>
  <c r="L17" i="15" l="1"/>
  <c r="K17" i="15"/>
  <c r="I17" i="15"/>
  <c r="H17" i="15"/>
  <c r="F17" i="15"/>
  <c r="E17" i="15"/>
  <c r="C17" i="15"/>
  <c r="B17" i="15"/>
  <c r="M16" i="15"/>
  <c r="J16" i="15"/>
  <c r="G16" i="15"/>
  <c r="D16" i="15"/>
  <c r="M15" i="15"/>
  <c r="J15" i="15"/>
  <c r="N15" i="15" s="1"/>
  <c r="O15" i="15" s="1"/>
  <c r="G15" i="15"/>
  <c r="D15" i="15"/>
  <c r="M14" i="15"/>
  <c r="J14" i="15"/>
  <c r="G14" i="15"/>
  <c r="D14" i="15"/>
  <c r="M13" i="15"/>
  <c r="J13" i="15"/>
  <c r="N13" i="15" s="1"/>
  <c r="O13" i="15" s="1"/>
  <c r="G13" i="15"/>
  <c r="D13" i="15"/>
  <c r="M12" i="15"/>
  <c r="J12" i="15"/>
  <c r="G12" i="15"/>
  <c r="D12" i="15"/>
  <c r="M11" i="15"/>
  <c r="J11" i="15"/>
  <c r="G11" i="15"/>
  <c r="D11" i="15"/>
  <c r="M10" i="15"/>
  <c r="J10" i="15"/>
  <c r="G10" i="15"/>
  <c r="D10" i="15"/>
  <c r="M9" i="15"/>
  <c r="J9" i="15"/>
  <c r="G9" i="15"/>
  <c r="D9" i="15"/>
  <c r="M8" i="15"/>
  <c r="J8" i="15"/>
  <c r="G8" i="15"/>
  <c r="D8" i="15"/>
  <c r="M7" i="15"/>
  <c r="J7" i="15"/>
  <c r="G7" i="15"/>
  <c r="D7" i="15"/>
  <c r="M6" i="15"/>
  <c r="J6" i="15"/>
  <c r="G6" i="15"/>
  <c r="D6" i="15"/>
  <c r="M5" i="15"/>
  <c r="J5" i="15"/>
  <c r="G5" i="15"/>
  <c r="D5" i="15"/>
  <c r="N5" i="9"/>
  <c r="M7" i="3"/>
  <c r="BB37" i="2"/>
  <c r="BA37" i="2"/>
  <c r="AZ37" i="2"/>
  <c r="AY37" i="2"/>
  <c r="AW37" i="2"/>
  <c r="AV37" i="2"/>
  <c r="AS37" i="2"/>
  <c r="AR37" i="2"/>
  <c r="AQ37" i="2"/>
  <c r="AO37" i="2"/>
  <c r="AN37" i="2"/>
  <c r="AM37" i="2"/>
  <c r="AX36" i="2"/>
  <c r="AP36" i="2"/>
  <c r="AX35" i="2"/>
  <c r="AP35" i="2"/>
  <c r="AX34" i="2"/>
  <c r="AP33" i="2"/>
  <c r="AX32" i="2"/>
  <c r="AP32" i="2"/>
  <c r="AX31" i="2"/>
  <c r="AP31" i="2"/>
  <c r="AX30" i="2"/>
  <c r="AP30" i="2"/>
  <c r="AX29" i="2"/>
  <c r="AP29" i="2"/>
  <c r="AX28" i="2"/>
  <c r="AP28" i="2"/>
  <c r="AX27" i="2"/>
  <c r="AP27" i="2"/>
  <c r="AX26" i="2"/>
  <c r="AP26" i="2"/>
  <c r="AX25" i="2"/>
  <c r="AP25" i="2"/>
  <c r="BU18" i="2"/>
  <c r="BT18" i="2"/>
  <c r="BS18" i="2"/>
  <c r="BR18" i="2"/>
  <c r="BP18" i="2"/>
  <c r="BO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I7" i="5"/>
  <c r="J7" i="5" s="1"/>
  <c r="N11" i="15" l="1"/>
  <c r="O11" i="15" s="1"/>
  <c r="N5" i="15"/>
  <c r="N12" i="15"/>
  <c r="O12" i="15" s="1"/>
  <c r="N6" i="15"/>
  <c r="O6" i="15" s="1"/>
  <c r="N14" i="15"/>
  <c r="O14" i="15" s="1"/>
  <c r="N16" i="15"/>
  <c r="O16" i="15" s="1"/>
  <c r="N10" i="15"/>
  <c r="O10" i="15" s="1"/>
  <c r="N9" i="15"/>
  <c r="O9" i="15" s="1"/>
  <c r="N8" i="15"/>
  <c r="O8" i="15" s="1"/>
  <c r="N7" i="15"/>
  <c r="O7" i="15" s="1"/>
  <c r="G17" i="15"/>
  <c r="D17" i="15"/>
  <c r="AT37" i="2"/>
  <c r="M17" i="15"/>
  <c r="AX37" i="2"/>
  <c r="O5" i="15"/>
  <c r="J17" i="15"/>
  <c r="AP37" i="2"/>
  <c r="AU37" i="2"/>
  <c r="BQ18" i="2"/>
  <c r="J16" i="10"/>
  <c r="M18" i="3"/>
  <c r="N17" i="15" l="1"/>
  <c r="O17" i="15"/>
  <c r="AA35" i="2"/>
  <c r="M17" i="3"/>
  <c r="N9" i="9" l="1"/>
  <c r="M9" i="9"/>
  <c r="G9" i="9"/>
  <c r="AL37" i="2" l="1"/>
  <c r="AK37" i="2"/>
  <c r="AJ37" i="2"/>
  <c r="AI37" i="2"/>
  <c r="AG37" i="2"/>
  <c r="AF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E37" i="2"/>
  <c r="AD37" i="2"/>
  <c r="AC37" i="2"/>
  <c r="AB37" i="2"/>
  <c r="Z37" i="2"/>
  <c r="Y37" i="2"/>
  <c r="AA36" i="2"/>
  <c r="AA34" i="2"/>
  <c r="AA33" i="2"/>
  <c r="AA32" i="2"/>
  <c r="AA31" i="2"/>
  <c r="AA30" i="2"/>
  <c r="AA29" i="2"/>
  <c r="AA28" i="2"/>
  <c r="AA27" i="2"/>
  <c r="AA26" i="2"/>
  <c r="AA25" i="2"/>
  <c r="BN18" i="2"/>
  <c r="BM18" i="2"/>
  <c r="BL18" i="2"/>
  <c r="BK18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18" i="2"/>
  <c r="BF18" i="2"/>
  <c r="BE18" i="2"/>
  <c r="BD18" i="2"/>
  <c r="BB18" i="2"/>
  <c r="BA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AZ18" i="2"/>
  <c r="AY18" i="2"/>
  <c r="AX18" i="2"/>
  <c r="AW18" i="2"/>
  <c r="AU18" i="2"/>
  <c r="AT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S18" i="2"/>
  <c r="AR18" i="2"/>
  <c r="AQ18" i="2"/>
  <c r="AP18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V18" i="2" l="1"/>
  <c r="BC18" i="2"/>
  <c r="AH37" i="2"/>
  <c r="AA37" i="2"/>
  <c r="BJ18" i="2"/>
  <c r="AO18" i="2"/>
  <c r="R38" i="3"/>
  <c r="S38" i="3" s="1"/>
  <c r="I38" i="3"/>
  <c r="M15" i="9" l="1"/>
  <c r="R37" i="3"/>
  <c r="M8" i="14" l="1"/>
  <c r="J8" i="14"/>
  <c r="G8" i="14"/>
  <c r="D8" i="14"/>
  <c r="L17" i="14"/>
  <c r="K17" i="14"/>
  <c r="I17" i="14"/>
  <c r="H17" i="14"/>
  <c r="F17" i="14"/>
  <c r="E17" i="14"/>
  <c r="C17" i="14"/>
  <c r="B17" i="14"/>
  <c r="M16" i="14"/>
  <c r="J16" i="14"/>
  <c r="G16" i="14"/>
  <c r="D16" i="14"/>
  <c r="M15" i="14"/>
  <c r="J15" i="14"/>
  <c r="D15" i="14"/>
  <c r="M14" i="14"/>
  <c r="J14" i="14"/>
  <c r="G14" i="14"/>
  <c r="D14" i="14"/>
  <c r="M13" i="14"/>
  <c r="J13" i="14"/>
  <c r="G13" i="14"/>
  <c r="D13" i="14"/>
  <c r="M12" i="14"/>
  <c r="J12" i="14"/>
  <c r="G12" i="14"/>
  <c r="D12" i="14"/>
  <c r="M11" i="14"/>
  <c r="J11" i="14"/>
  <c r="G11" i="14"/>
  <c r="D11" i="14"/>
  <c r="M10" i="14"/>
  <c r="J10" i="14"/>
  <c r="G10" i="14"/>
  <c r="D10" i="14"/>
  <c r="M9" i="14"/>
  <c r="J9" i="14"/>
  <c r="G9" i="14"/>
  <c r="D9" i="14"/>
  <c r="M7" i="14"/>
  <c r="J7" i="14"/>
  <c r="G7" i="14"/>
  <c r="D7" i="14"/>
  <c r="M6" i="14"/>
  <c r="J6" i="14"/>
  <c r="G6" i="14"/>
  <c r="D6" i="14"/>
  <c r="M5" i="14"/>
  <c r="J5" i="14"/>
  <c r="G5" i="14"/>
  <c r="D5" i="14"/>
  <c r="N15" i="14" l="1"/>
  <c r="O15" i="14" s="1"/>
  <c r="J17" i="14"/>
  <c r="D17" i="14"/>
  <c r="G17" i="14"/>
  <c r="N16" i="14"/>
  <c r="O16" i="14" s="1"/>
  <c r="N14" i="14"/>
  <c r="O14" i="14" s="1"/>
  <c r="N13" i="14"/>
  <c r="O13" i="14" s="1"/>
  <c r="N12" i="14"/>
  <c r="N11" i="14"/>
  <c r="O11" i="14" s="1"/>
  <c r="N10" i="14"/>
  <c r="M17" i="14"/>
  <c r="N8" i="14"/>
  <c r="O8" i="14" s="1"/>
  <c r="N6" i="14"/>
  <c r="O6" i="14" s="1"/>
  <c r="N7" i="14"/>
  <c r="O7" i="14" s="1"/>
  <c r="N9" i="14"/>
  <c r="N5" i="14"/>
  <c r="N17" i="14" l="1"/>
  <c r="O5" i="14"/>
  <c r="O17" i="14" s="1"/>
  <c r="P8" i="2" l="1"/>
  <c r="Q8" i="2" s="1"/>
  <c r="P9" i="2"/>
  <c r="Q9" i="2" s="1"/>
  <c r="P10" i="2"/>
  <c r="P11" i="2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7" i="2"/>
  <c r="P6" i="2"/>
  <c r="Q6" i="2" s="1"/>
  <c r="F17" i="13"/>
  <c r="E17" i="13"/>
  <c r="C17" i="13"/>
  <c r="B17" i="13"/>
  <c r="G16" i="13"/>
  <c r="H16" i="13" s="1"/>
  <c r="D16" i="13"/>
  <c r="G15" i="13"/>
  <c r="H15" i="13" s="1"/>
  <c r="D15" i="13"/>
  <c r="G14" i="13"/>
  <c r="H14" i="13" s="1"/>
  <c r="D14" i="13"/>
  <c r="G13" i="13"/>
  <c r="H13" i="13" s="1"/>
  <c r="D13" i="13"/>
  <c r="G12" i="13"/>
  <c r="H12" i="13" s="1"/>
  <c r="D12" i="13"/>
  <c r="G11" i="13"/>
  <c r="H11" i="13" s="1"/>
  <c r="D11" i="13"/>
  <c r="G10" i="13"/>
  <c r="H10" i="13" s="1"/>
  <c r="D10" i="13"/>
  <c r="G9" i="13"/>
  <c r="H9" i="13" s="1"/>
  <c r="D9" i="13"/>
  <c r="G8" i="13"/>
  <c r="H8" i="13" s="1"/>
  <c r="D8" i="13"/>
  <c r="G7" i="13"/>
  <c r="H7" i="13" s="1"/>
  <c r="D7" i="13"/>
  <c r="G6" i="13"/>
  <c r="H6" i="13" s="1"/>
  <c r="D6" i="13"/>
  <c r="G5" i="13"/>
  <c r="H5" i="13" s="1"/>
  <c r="D5" i="13"/>
  <c r="G23" i="10"/>
  <c r="G24" i="10"/>
  <c r="H24" i="10" s="1"/>
  <c r="G25" i="10"/>
  <c r="H25" i="10" s="1"/>
  <c r="G26" i="10"/>
  <c r="G27" i="10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22" i="10"/>
  <c r="H22" i="10" s="1"/>
  <c r="B34" i="10"/>
  <c r="D23" i="10"/>
  <c r="D24" i="10"/>
  <c r="D25" i="10"/>
  <c r="D26" i="10"/>
  <c r="D27" i="10"/>
  <c r="D28" i="10"/>
  <c r="D29" i="10"/>
  <c r="D30" i="10"/>
  <c r="D31" i="10"/>
  <c r="D32" i="10"/>
  <c r="D33" i="10"/>
  <c r="D22" i="10"/>
  <c r="M16" i="10"/>
  <c r="M14" i="10"/>
  <c r="M13" i="10"/>
  <c r="M12" i="10"/>
  <c r="M11" i="10"/>
  <c r="M10" i="10"/>
  <c r="M9" i="10"/>
  <c r="M8" i="10"/>
  <c r="M7" i="10"/>
  <c r="M6" i="10"/>
  <c r="M5" i="10"/>
  <c r="J6" i="10"/>
  <c r="J7" i="10"/>
  <c r="J8" i="10"/>
  <c r="J9" i="10"/>
  <c r="N9" i="10" s="1"/>
  <c r="O9" i="10" s="1"/>
  <c r="J10" i="10"/>
  <c r="J11" i="10"/>
  <c r="J12" i="10"/>
  <c r="J13" i="10"/>
  <c r="J14" i="10"/>
  <c r="J15" i="10"/>
  <c r="J5" i="10"/>
  <c r="I17" i="10"/>
  <c r="G6" i="10"/>
  <c r="G7" i="10"/>
  <c r="G8" i="10"/>
  <c r="G9" i="10"/>
  <c r="G10" i="10"/>
  <c r="G11" i="10"/>
  <c r="G12" i="10"/>
  <c r="G13" i="10"/>
  <c r="G14" i="10"/>
  <c r="G15" i="10"/>
  <c r="G16" i="10"/>
  <c r="F17" i="10"/>
  <c r="D6" i="10"/>
  <c r="D7" i="10"/>
  <c r="D8" i="10"/>
  <c r="D9" i="10"/>
  <c r="D10" i="10"/>
  <c r="D11" i="10"/>
  <c r="D12" i="10"/>
  <c r="D13" i="10"/>
  <c r="D14" i="10"/>
  <c r="D15" i="10"/>
  <c r="D16" i="10"/>
  <c r="D5" i="10"/>
  <c r="C17" i="10"/>
  <c r="L17" i="9"/>
  <c r="H17" i="9"/>
  <c r="N7" i="9"/>
  <c r="N8" i="9"/>
  <c r="N10" i="9"/>
  <c r="N11" i="9"/>
  <c r="N12" i="9"/>
  <c r="N13" i="9"/>
  <c r="N14" i="9"/>
  <c r="O14" i="9" s="1"/>
  <c r="N16" i="9"/>
  <c r="M7" i="9"/>
  <c r="M10" i="9"/>
  <c r="M11" i="9"/>
  <c r="M12" i="9"/>
  <c r="M13" i="9"/>
  <c r="M16" i="9"/>
  <c r="G6" i="9"/>
  <c r="G7" i="9"/>
  <c r="G8" i="9"/>
  <c r="G10" i="9"/>
  <c r="G11" i="9"/>
  <c r="G12" i="9"/>
  <c r="G13" i="9"/>
  <c r="G14" i="9"/>
  <c r="G15" i="9"/>
  <c r="G16" i="9"/>
  <c r="G5" i="9"/>
  <c r="F17" i="9"/>
  <c r="E6" i="2"/>
  <c r="X37" i="2"/>
  <c r="W37" i="2"/>
  <c r="V37" i="2"/>
  <c r="U37" i="2"/>
  <c r="S37" i="2"/>
  <c r="R37" i="2"/>
  <c r="T36" i="2"/>
  <c r="T35" i="2"/>
  <c r="T34" i="2"/>
  <c r="T32" i="2"/>
  <c r="T31" i="2"/>
  <c r="T30" i="2"/>
  <c r="T29" i="2"/>
  <c r="T28" i="2"/>
  <c r="T27" i="2"/>
  <c r="T26" i="2"/>
  <c r="T25" i="2"/>
  <c r="Q37" i="2"/>
  <c r="P37" i="2"/>
  <c r="O37" i="2"/>
  <c r="N37" i="2"/>
  <c r="L37" i="2"/>
  <c r="K37" i="2"/>
  <c r="M36" i="2"/>
  <c r="M34" i="2"/>
  <c r="M33" i="2"/>
  <c r="M32" i="2"/>
  <c r="M31" i="2"/>
  <c r="M30" i="2"/>
  <c r="M29" i="2"/>
  <c r="M28" i="2"/>
  <c r="M27" i="2"/>
  <c r="M26" i="2"/>
  <c r="M25" i="2"/>
  <c r="AJ18" i="2"/>
  <c r="AI18" i="2"/>
  <c r="AG18" i="2"/>
  <c r="AF18" i="2"/>
  <c r="AH17" i="2"/>
  <c r="AH16" i="2"/>
  <c r="AH15" i="2"/>
  <c r="AH14" i="2"/>
  <c r="AH13" i="2"/>
  <c r="AH12" i="2"/>
  <c r="AH11" i="2"/>
  <c r="AH10" i="2"/>
  <c r="AH9" i="2"/>
  <c r="AH8" i="2"/>
  <c r="AH7" i="2"/>
  <c r="AK18" i="2"/>
  <c r="AH6" i="2"/>
  <c r="AE18" i="2"/>
  <c r="AD18" i="2"/>
  <c r="AC18" i="2"/>
  <c r="AB18" i="2"/>
  <c r="Z18" i="2"/>
  <c r="Y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V18" i="2"/>
  <c r="U18" i="2"/>
  <c r="X18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Q10" i="2"/>
  <c r="Q11" i="2"/>
  <c r="O18" i="2"/>
  <c r="M8" i="2"/>
  <c r="CX8" i="2" s="1"/>
  <c r="M9" i="2"/>
  <c r="CX9" i="2" s="1"/>
  <c r="M10" i="2"/>
  <c r="M11" i="2"/>
  <c r="M12" i="2"/>
  <c r="M13" i="2"/>
  <c r="M14" i="2"/>
  <c r="M15" i="2"/>
  <c r="M16" i="2"/>
  <c r="M17" i="2"/>
  <c r="M7" i="2"/>
  <c r="CX7" i="2" s="1"/>
  <c r="M6" i="2"/>
  <c r="CX6" i="2" s="1"/>
  <c r="L18" i="2"/>
  <c r="H37" i="2"/>
  <c r="I37" i="2"/>
  <c r="J37" i="2"/>
  <c r="G37" i="2"/>
  <c r="F37" i="2"/>
  <c r="E36" i="2"/>
  <c r="E26" i="2"/>
  <c r="E27" i="2"/>
  <c r="E28" i="2"/>
  <c r="E29" i="2"/>
  <c r="E30" i="2"/>
  <c r="E31" i="2"/>
  <c r="E32" i="2"/>
  <c r="E33" i="2"/>
  <c r="CX33" i="2" s="1"/>
  <c r="E34" i="2"/>
  <c r="E35" i="2"/>
  <c r="E25" i="2"/>
  <c r="D37" i="2"/>
  <c r="C37" i="2"/>
  <c r="E17" i="2"/>
  <c r="E8" i="2"/>
  <c r="E9" i="2"/>
  <c r="E10" i="2"/>
  <c r="E11" i="2"/>
  <c r="E12" i="2"/>
  <c r="E13" i="2"/>
  <c r="E14" i="2"/>
  <c r="E15" i="2"/>
  <c r="E16" i="2"/>
  <c r="E7" i="2"/>
  <c r="D18" i="2"/>
  <c r="B18" i="2"/>
  <c r="I18" i="2"/>
  <c r="H18" i="2"/>
  <c r="G18" i="2"/>
  <c r="I18" i="5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E8" i="5"/>
  <c r="E9" i="5"/>
  <c r="E10" i="5"/>
  <c r="E11" i="5"/>
  <c r="E12" i="5"/>
  <c r="E13" i="5"/>
  <c r="E14" i="5"/>
  <c r="E15" i="5"/>
  <c r="E16" i="5"/>
  <c r="E17" i="5"/>
  <c r="E18" i="5"/>
  <c r="S32" i="3"/>
  <c r="S35" i="3"/>
  <c r="N39" i="3"/>
  <c r="M39" i="3"/>
  <c r="I29" i="3"/>
  <c r="I30" i="3"/>
  <c r="I31" i="3"/>
  <c r="I32" i="3"/>
  <c r="I33" i="3"/>
  <c r="I34" i="3"/>
  <c r="I35" i="3"/>
  <c r="I36" i="3"/>
  <c r="I37" i="3"/>
  <c r="I28" i="3"/>
  <c r="H39" i="3"/>
  <c r="G39" i="3"/>
  <c r="AL18" i="2"/>
  <c r="W18" i="2"/>
  <c r="Q7" i="2"/>
  <c r="M16" i="3"/>
  <c r="M15" i="3"/>
  <c r="M14" i="3"/>
  <c r="M12" i="3"/>
  <c r="M11" i="3"/>
  <c r="M10" i="3"/>
  <c r="M9" i="3"/>
  <c r="M8" i="3"/>
  <c r="J8" i="3"/>
  <c r="J9" i="3"/>
  <c r="J10" i="3"/>
  <c r="J11" i="3"/>
  <c r="J12" i="3"/>
  <c r="J13" i="3"/>
  <c r="J14" i="3"/>
  <c r="J15" i="3"/>
  <c r="J16" i="3"/>
  <c r="J17" i="3"/>
  <c r="J18" i="3"/>
  <c r="J7" i="3"/>
  <c r="N7" i="3" s="1"/>
  <c r="G8" i="3"/>
  <c r="G9" i="3"/>
  <c r="G10" i="3"/>
  <c r="G11" i="3"/>
  <c r="G12" i="3"/>
  <c r="G13" i="3"/>
  <c r="G14" i="3"/>
  <c r="G15" i="3"/>
  <c r="G16" i="3"/>
  <c r="G17" i="3"/>
  <c r="G18" i="3"/>
  <c r="G7" i="3"/>
  <c r="D8" i="3"/>
  <c r="D9" i="3"/>
  <c r="D10" i="3"/>
  <c r="D11" i="3"/>
  <c r="D12" i="3"/>
  <c r="D13" i="3"/>
  <c r="D14" i="3"/>
  <c r="D15" i="3"/>
  <c r="D16" i="3"/>
  <c r="D17" i="3"/>
  <c r="D18" i="3"/>
  <c r="D7" i="3"/>
  <c r="N18" i="2"/>
  <c r="J39" i="3"/>
  <c r="C34" i="10"/>
  <c r="E34" i="10"/>
  <c r="F34" i="10"/>
  <c r="E17" i="10"/>
  <c r="H17" i="10"/>
  <c r="K17" i="10"/>
  <c r="L17" i="10"/>
  <c r="B17" i="10"/>
  <c r="H19" i="3"/>
  <c r="I19" i="3"/>
  <c r="K19" i="3"/>
  <c r="L19" i="3"/>
  <c r="E19" i="3"/>
  <c r="F19" i="3"/>
  <c r="E17" i="9"/>
  <c r="J17" i="9"/>
  <c r="K17" i="9"/>
  <c r="C17" i="9"/>
  <c r="I17" i="9"/>
  <c r="D17" i="9"/>
  <c r="B17" i="9"/>
  <c r="H19" i="5"/>
  <c r="G19" i="5"/>
  <c r="F19" i="5"/>
  <c r="B39" i="3"/>
  <c r="B19" i="3"/>
  <c r="C18" i="2"/>
  <c r="K39" i="3"/>
  <c r="C39" i="3"/>
  <c r="B37" i="2"/>
  <c r="C19" i="3"/>
  <c r="D39" i="3"/>
  <c r="K18" i="2"/>
  <c r="F18" i="2"/>
  <c r="L39" i="3"/>
  <c r="F39" i="3"/>
  <c r="J18" i="2"/>
  <c r="E39" i="3"/>
  <c r="O39" i="3"/>
  <c r="P39" i="3"/>
  <c r="E19" i="5" l="1"/>
  <c r="O16" i="9"/>
  <c r="CX35" i="2"/>
  <c r="CX16" i="2"/>
  <c r="CX36" i="2"/>
  <c r="CX17" i="2"/>
  <c r="CX34" i="2"/>
  <c r="CX15" i="2"/>
  <c r="CX14" i="2"/>
  <c r="CX32" i="2"/>
  <c r="CX13" i="2"/>
  <c r="CX29" i="2"/>
  <c r="CX31" i="2"/>
  <c r="CX30" i="2"/>
  <c r="CX12" i="2"/>
  <c r="CX11" i="2"/>
  <c r="CX10" i="2"/>
  <c r="N5" i="10"/>
  <c r="G17" i="10"/>
  <c r="N18" i="3"/>
  <c r="O18" i="3" s="1"/>
  <c r="N15" i="10"/>
  <c r="O15" i="10" s="1"/>
  <c r="N17" i="3"/>
  <c r="O17" i="3" s="1"/>
  <c r="N14" i="10"/>
  <c r="O14" i="10" s="1"/>
  <c r="N13" i="10"/>
  <c r="O13" i="10" s="1"/>
  <c r="N11" i="10"/>
  <c r="O11" i="10" s="1"/>
  <c r="N14" i="3"/>
  <c r="O14" i="3" s="1"/>
  <c r="N15" i="3"/>
  <c r="O15" i="3" s="1"/>
  <c r="O13" i="9"/>
  <c r="N12" i="10"/>
  <c r="N16" i="10"/>
  <c r="O16" i="10" s="1"/>
  <c r="N13" i="3"/>
  <c r="O13" i="3" s="1"/>
  <c r="N12" i="3"/>
  <c r="N11" i="3"/>
  <c r="O11" i="3" s="1"/>
  <c r="AA18" i="2"/>
  <c r="N7" i="10"/>
  <c r="J19" i="5"/>
  <c r="N10" i="3"/>
  <c r="T18" i="2"/>
  <c r="N6" i="10"/>
  <c r="G34" i="10"/>
  <c r="M19" i="3"/>
  <c r="N8" i="3"/>
  <c r="AH18" i="2"/>
  <c r="N16" i="3"/>
  <c r="O16" i="3" s="1"/>
  <c r="N9" i="3"/>
  <c r="P18" i="2"/>
  <c r="G17" i="9"/>
  <c r="N17" i="9"/>
  <c r="N10" i="10"/>
  <c r="O10" i="10" s="1"/>
  <c r="O11" i="9"/>
  <c r="E18" i="2"/>
  <c r="R39" i="3"/>
  <c r="O10" i="9"/>
  <c r="G17" i="13"/>
  <c r="H17" i="13"/>
  <c r="M17" i="10"/>
  <c r="Q18" i="2"/>
  <c r="M18" i="2"/>
  <c r="D19" i="3"/>
  <c r="J17" i="10"/>
  <c r="D17" i="10"/>
  <c r="D34" i="10"/>
  <c r="I19" i="5"/>
  <c r="I39" i="3"/>
  <c r="G19" i="3"/>
  <c r="N8" i="10"/>
  <c r="H34" i="10"/>
  <c r="T37" i="2"/>
  <c r="M37" i="2"/>
  <c r="E37" i="2"/>
  <c r="J19" i="3"/>
  <c r="M17" i="9"/>
  <c r="D17" i="13"/>
  <c r="Q39" i="3"/>
  <c r="M42" i="3" l="1"/>
  <c r="O19" i="3"/>
  <c r="N19" i="3"/>
  <c r="O17" i="10"/>
  <c r="N17" i="10"/>
  <c r="S39" i="3"/>
  <c r="M41" i="3" l="1"/>
  <c r="M43" i="3" s="1"/>
</calcChain>
</file>

<file path=xl/sharedStrings.xml><?xml version="1.0" encoding="utf-8"?>
<sst xmlns="http://schemas.openxmlformats.org/spreadsheetml/2006/main" count="638" uniqueCount="102">
  <si>
    <t>М.А. Морозов</t>
  </si>
  <si>
    <t>ВН</t>
  </si>
  <si>
    <t>СН2</t>
  </si>
  <si>
    <t>НН</t>
  </si>
  <si>
    <t xml:space="preserve">Январь </t>
  </si>
  <si>
    <t xml:space="preserve">Февраль </t>
  </si>
  <si>
    <t xml:space="preserve">Март </t>
  </si>
  <si>
    <t xml:space="preserve">Апрель </t>
  </si>
  <si>
    <t>Оказание услуг по содержанию эл. сетей    Руб.</t>
  </si>
  <si>
    <t>Потери МВт.ч.</t>
  </si>
  <si>
    <t>Потери Руб.</t>
  </si>
  <si>
    <t>Итого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</si>
  <si>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</si>
  <si>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</si>
  <si>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</si>
  <si>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</si>
  <si>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</si>
  <si>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</si>
  <si>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</si>
  <si>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</si>
  <si>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Оказание услуг по содержанию эл. сетей    МВт.ч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</si>
  <si>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</si>
  <si>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</si>
  <si>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</si>
  <si>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</si>
  <si>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</si>
  <si>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</si>
  <si>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</si>
  <si>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</si>
  <si>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</si>
  <si>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</si>
  <si>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</si>
  <si>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Услуги по передаче Э/Э   Руб.</t>
  </si>
  <si>
    <t>Услуги по передаче Э/Э   МВт.ч.</t>
  </si>
  <si>
    <t>Услуги по передаче Э/Э   МВт</t>
  </si>
  <si>
    <t>Услуги по содержанию эл. сетей за МВт          Руб.</t>
  </si>
  <si>
    <t xml:space="preserve">январь </t>
  </si>
  <si>
    <t>Февраль</t>
  </si>
  <si>
    <t>Март</t>
  </si>
  <si>
    <t>Апрель</t>
  </si>
  <si>
    <t>СН1</t>
  </si>
  <si>
    <t>Услуги по содержанию эл. сетей за МВт.ч   Руб.</t>
  </si>
  <si>
    <t xml:space="preserve">ВН </t>
  </si>
  <si>
    <t>Услуги по содержанию эл. сетей за МВт  Руб.</t>
  </si>
  <si>
    <t xml:space="preserve">ООО "РСК сети"   Сведения об объеме реализованных товаров, услуг по регулируему виду  </t>
  </si>
  <si>
    <t>ООО "РСК сети" оказали услуги по передаче Э/Э  ПАО "Красноярскэнергосбыт"(2-х став.)</t>
  </si>
  <si>
    <t>ООО "РСК сети" оказали услуги по передаче Э/Э  ПАО "Красноярскэнергосбыт" (1-но став.)</t>
  </si>
  <si>
    <t xml:space="preserve">Директор ООО "РСК сети"                                                       </t>
  </si>
  <si>
    <t xml:space="preserve"> ООО "РСК сети"  оказали   услуги по передаче Э/Э  ООО "РСК сбыт"</t>
  </si>
  <si>
    <t xml:space="preserve"> ООО "РСК сети"  оказали   услуги по передаче Э/Э  ООО "ПрофСервисТрейд" (2-х став.)</t>
  </si>
  <si>
    <t xml:space="preserve"> ООО "РСК сети" оказали услуги по передаче Э/Э ООО "ПрофСервисТрейд" (1-х став.)</t>
  </si>
  <si>
    <t xml:space="preserve">ООО "РСК сети" Сведения об объеме реализованных товаров, услуг по регулируему виду  </t>
  </si>
  <si>
    <t>Услуги по передаче Э/Э   МВт.ч</t>
  </si>
  <si>
    <t>Итого
без НДС</t>
  </si>
  <si>
    <t>Итого
с НДС</t>
  </si>
  <si>
    <t>насел. 
соц.норм</t>
  </si>
  <si>
    <t>насел. 
сверх соц.норм</t>
  </si>
  <si>
    <t>прирав. 
к насел.</t>
  </si>
  <si>
    <t>ИТОГО
с НДС</t>
  </si>
  <si>
    <t>ИТОГО
без НДС</t>
  </si>
  <si>
    <t>Итого по насел.
без НДС</t>
  </si>
  <si>
    <t>Итого 
прочие
без НДС</t>
  </si>
  <si>
    <t>Оказанные услуги смежными ТСО по передаче Э/Э в сети ООО "РСК сети"</t>
  </si>
  <si>
    <t>АО "Красноярская ТЭЦ-1"</t>
  </si>
  <si>
    <t>Оказанные услуги ООО "РСК сети" по передаче Э/Э смежным ТСО</t>
  </si>
  <si>
    <t>Филиал ПАО "Россети Сибирь"-"Красноярскэнерго"</t>
  </si>
  <si>
    <t>ООО "Крассети"</t>
  </si>
  <si>
    <t xml:space="preserve"> МУП ЭС г. Зеленогорск</t>
  </si>
  <si>
    <t>Итого 
с НДС</t>
  </si>
  <si>
    <t>АО "КрасЭКо"</t>
  </si>
  <si>
    <t>Услуги по передаче Э/Э   
МВт.ч.</t>
  </si>
  <si>
    <t>Услуги по передаче Э/Э   
МВт.ч. Руб</t>
  </si>
  <si>
    <t xml:space="preserve"> ООО "РСК сети" оказали услуги по передаче Э/Э 
ООО "Главэнергосбыт" (1-х став.)</t>
  </si>
  <si>
    <t>руб. с НДС</t>
  </si>
  <si>
    <t>Оказанные услуги смежными ТСО ООО "РСК сети"</t>
  </si>
  <si>
    <t xml:space="preserve"> ООО "РСК сети"  оказали   услуги по передаче Э/Э  АО "Мосэнергосбыт" (2-х став.)</t>
  </si>
  <si>
    <t>Оказанные услуги ООО "РСК сети" смежным ТСО/ЭСО</t>
  </si>
  <si>
    <t xml:space="preserve">Директор ООО "РСК сети" </t>
  </si>
  <si>
    <t>АО "Оборонэнерго"</t>
  </si>
  <si>
    <t>ООО "Городские электрические сети"</t>
  </si>
  <si>
    <t>ООО "ДОКэнерго"</t>
  </si>
  <si>
    <t xml:space="preserve">Месяц </t>
  </si>
  <si>
    <t>Месяц</t>
  </si>
  <si>
    <t>ООО "ЕСС"</t>
  </si>
  <si>
    <t>ОАО "Красцветмет"</t>
  </si>
  <si>
    <t>ООО ЭСК "Энергия"</t>
  </si>
  <si>
    <t>ОАО "РЖД"</t>
  </si>
  <si>
    <t>ООО "ЭСС"</t>
  </si>
  <si>
    <t xml:space="preserve"> ООО "РСК сети"  оказали   услуги по передаче Э/Э  ООО "КрасКом" (2-х став.)</t>
  </si>
  <si>
    <r>
      <t xml:space="preserve">деятельности в натуральных и стоимостных показателях за </t>
    </r>
    <r>
      <rPr>
        <b/>
        <u/>
        <sz val="11"/>
        <color theme="1"/>
        <rFont val="Times New Roman"/>
        <family val="1"/>
        <charset val="204"/>
      </rPr>
      <t>2024 г.</t>
    </r>
  </si>
  <si>
    <t>Доход ООО "РСК сети"  за 2024 г. составляет</t>
  </si>
  <si>
    <r>
      <t xml:space="preserve">деятельности в натуральных и стоимостных показателях за </t>
    </r>
    <r>
      <rPr>
        <b/>
        <u/>
        <sz val="11"/>
        <color theme="1"/>
        <rFont val="Times New Roman"/>
        <family val="1"/>
        <charset val="204"/>
      </rPr>
      <t>2024г.</t>
    </r>
  </si>
  <si>
    <t>Филиал ПАО "Россети"-МЭС Сибири</t>
  </si>
  <si>
    <t>ООО "КрасЭлектроСеть"</t>
  </si>
  <si>
    <t>ООО "КрасЭКо"</t>
  </si>
  <si>
    <t>ООО ТСК "Энергоальянс"</t>
  </si>
  <si>
    <t>ООО "Финарт"</t>
  </si>
  <si>
    <t>МУПЭС г.Дивногорск</t>
  </si>
  <si>
    <t xml:space="preserve"> ООО "РСК сети" оказали услуги по передаче Э/Э 
ООО "МагнитЭнерго" (1-х став.)</t>
  </si>
  <si>
    <t xml:space="preserve"> ООО "РСК сети" оказали услуги по передаче Э/Э 
ООО "Промэнергосбыт" (1-х став.)</t>
  </si>
  <si>
    <t>Сбытовые организации оказали услуги по передаче Э/Э  ООО "РСК сети"</t>
  </si>
  <si>
    <r>
      <t xml:space="preserve">деятельности в натуральных и стоимостных показателях </t>
    </r>
    <r>
      <rPr>
        <b/>
        <u/>
        <sz val="11"/>
        <color theme="1"/>
        <rFont val="Times New Roman"/>
        <family val="1"/>
        <charset val="204"/>
      </rPr>
      <t>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</si>
</sst>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2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0" xfId="0" applyFont="1" applyAlignment="1"/>
    <xf numFmtId="0" fontId="1" fillId="0" borderId="0" xfId="0" applyFont="1" applyFill="1"/>
    <xf numFmtId="2" fontId="2" fillId="0" borderId="0" xfId="0" applyNumberFormat="1" applyFont="1" applyBorder="1"/>
    <xf numFmtId="0" fontId="3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/>
    <xf numFmtId="2" fontId="2" fillId="0" borderId="0" xfId="0" applyNumberFormat="1" applyFont="1"/>
    <xf numFmtId="0" fontId="4" fillId="0" borderId="0" xfId="0" applyFont="1"/>
    <xf numFmtId="0" fontId="2" fillId="0" borderId="0" xfId="0" applyFont="1" applyBorder="1" applyAlignment="1"/>
    <xf numFmtId="4" fontId="2" fillId="0" borderId="0" xfId="0" applyNumberFormat="1" applyFont="1" applyBorder="1"/>
    <xf numFmtId="4" fontId="2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Fill="1" applyBorder="1"/>
    <xf numFmtId="2" fontId="1" fillId="0" borderId="0" xfId="0" applyNumberFormat="1" applyFont="1"/>
    <xf numFmtId="0" fontId="4" fillId="0" borderId="0" xfId="0" applyFont="1" applyFill="1"/>
    <xf numFmtId="4" fontId="2" fillId="0" borderId="0" xfId="0" applyNumberFormat="1" applyFont="1" applyAlignment="1">
      <alignment horizontal="left"/>
    </xf>
    <xf numFmtId="4" fontId="5" fillId="0" borderId="4" xfId="0" applyNumberFormat="1" applyFont="1" applyFill="1" applyBorder="1" applyAlignment="1">
      <alignment horizontal="center"/>
    </xf>
    <xf numFmtId="4" fontId="5" fillId="0" borderId="37" xfId="0" applyNumberFormat="1" applyFont="1" applyFill="1" applyBorder="1" applyAlignment="1">
      <alignment horizontal="center"/>
    </xf>
    <xf numFmtId="4" fontId="5" fillId="0" borderId="35" xfId="0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/>
    <xf numFmtId="4" fontId="1" fillId="0" borderId="0" xfId="0" applyNumberFormat="1" applyFont="1" applyBorder="1" applyAlignment="1"/>
    <xf numFmtId="4" fontId="5" fillId="0" borderId="8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5" fillId="0" borderId="26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2" fontId="8" fillId="0" borderId="0" xfId="0" applyNumberFormat="1" applyFont="1"/>
    <xf numFmtId="165" fontId="5" fillId="0" borderId="4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4" fontId="5" fillId="0" borderId="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/>
    <xf numFmtId="165" fontId="1" fillId="0" borderId="0" xfId="0" applyNumberFormat="1" applyFont="1"/>
    <xf numFmtId="165" fontId="1" fillId="2" borderId="0" xfId="0" applyNumberFormat="1" applyFont="1" applyFill="1"/>
    <xf numFmtId="4" fontId="1" fillId="2" borderId="0" xfId="0" applyNumberFormat="1" applyFont="1" applyFill="1"/>
    <xf numFmtId="4" fontId="5" fillId="0" borderId="5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ill="1"/>
    <xf numFmtId="165" fontId="5" fillId="0" borderId="2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 applyFill="1"/>
    <xf numFmtId="4" fontId="5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5" fillId="0" borderId="48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7" fillId="0" borderId="49" xfId="0" applyNumberFormat="1" applyFon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0" borderId="49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9" xfId="0" applyNumberFormat="1" applyFont="1" applyFill="1" applyBorder="1" applyAlignment="1">
      <alignment horizontal="center" vertical="center"/>
    </xf>
    <xf numFmtId="4" fontId="7" fillId="0" borderId="59" xfId="0" applyNumberFormat="1" applyFont="1" applyFill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7" fillId="0" borderId="64" xfId="0" applyNumberFormat="1" applyFont="1" applyFill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4" fontId="5" fillId="0" borderId="64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/>
    </xf>
    <xf numFmtId="0" fontId="6" fillId="0" borderId="6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4" fontId="5" fillId="0" borderId="49" xfId="0" applyNumberFormat="1" applyFont="1" applyFill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4" fontId="6" fillId="2" borderId="29" xfId="0" applyNumberFormat="1" applyFont="1" applyFill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5" fontId="5" fillId="0" borderId="65" xfId="0" applyNumberFormat="1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4" fontId="5" fillId="0" borderId="65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165" fontId="7" fillId="0" borderId="60" xfId="0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" fontId="5" fillId="0" borderId="56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" fontId="5" fillId="0" borderId="62" xfId="0" applyNumberFormat="1" applyFont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6" fillId="0" borderId="2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37" xfId="0" applyNumberFormat="1" applyFont="1" applyFill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165" fontId="7" fillId="0" borderId="56" xfId="0" applyNumberFormat="1" applyFont="1" applyFill="1" applyBorder="1" applyAlignment="1">
      <alignment horizontal="center" vertical="center"/>
    </xf>
    <xf numFmtId="165" fontId="7" fillId="0" borderId="52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3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37" xfId="0" applyNumberFormat="1" applyFont="1" applyFill="1" applyBorder="1" applyAlignment="1">
      <alignment horizontal="center" vertical="center"/>
    </xf>
    <xf numFmtId="165" fontId="5" fillId="0" borderId="37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4" fontId="7" fillId="0" borderId="38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165" fontId="7" fillId="0" borderId="60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40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" fontId="7" fillId="0" borderId="48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5" fillId="0" borderId="6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165" fontId="7" fillId="0" borderId="33" xfId="0" applyNumberFormat="1" applyFont="1" applyFill="1" applyBorder="1" applyAlignment="1">
      <alignment horizontal="center" vertical="center"/>
    </xf>
    <xf numFmtId="165" fontId="7" fillId="0" borderId="46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165" fontId="5" fillId="0" borderId="56" xfId="0" applyNumberFormat="1" applyFont="1" applyFill="1" applyBorder="1" applyAlignment="1">
      <alignment horizontal="center" vertical="center"/>
    </xf>
    <xf numFmtId="165" fontId="5" fillId="0" borderId="60" xfId="0" applyNumberFormat="1" applyFont="1" applyFill="1" applyBorder="1" applyAlignment="1">
      <alignment horizontal="center" vertical="center"/>
    </xf>
    <xf numFmtId="4" fontId="5" fillId="0" borderId="52" xfId="0" applyNumberFormat="1" applyFont="1" applyBorder="1" applyAlignment="1">
      <alignment horizontal="center" vertical="center"/>
    </xf>
    <xf numFmtId="165" fontId="5" fillId="0" borderId="56" xfId="0" applyNumberFormat="1" applyFont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5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6" fillId="0" borderId="29" xfId="0" applyNumberFormat="1" applyFont="1" applyFill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5" fontId="5" fillId="0" borderId="40" xfId="0" applyNumberFormat="1" applyFont="1" applyFill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47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 wrapText="1"/>
    </xf>
    <xf numFmtId="165" fontId="7" fillId="0" borderId="34" xfId="0" applyNumberFormat="1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" fontId="5" fillId="0" borderId="59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165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4" fontId="5" fillId="0" borderId="6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5" fillId="0" borderId="48" xfId="0" applyNumberFormat="1" applyFont="1" applyFill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28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/>
    </xf>
    <xf numFmtId="4" fontId="7" fillId="0" borderId="57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5" fillId="0" borderId="62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5" fillId="0" borderId="43" xfId="0" applyFont="1" applyFill="1" applyBorder="1"/>
    <xf numFmtId="4" fontId="5" fillId="0" borderId="6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3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5" fontId="6" fillId="0" borderId="25" xfId="0" applyNumberFormat="1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0" fontId="6" fillId="0" borderId="29" xfId="0" applyFont="1" applyFill="1" applyBorder="1"/>
    <xf numFmtId="165" fontId="5" fillId="0" borderId="7" xfId="0" applyNumberFormat="1" applyFont="1" applyFill="1" applyBorder="1" applyAlignment="1">
      <alignment horizontal="center"/>
    </xf>
    <xf numFmtId="4" fontId="5" fillId="0" borderId="43" xfId="0" applyNumberFormat="1" applyFont="1" applyFill="1" applyBorder="1" applyAlignment="1">
      <alignment horizontal="center"/>
    </xf>
    <xf numFmtId="165" fontId="5" fillId="0" borderId="59" xfId="0" applyNumberFormat="1" applyFont="1" applyFill="1" applyBorder="1" applyAlignment="1">
      <alignment horizontal="center"/>
    </xf>
    <xf numFmtId="165" fontId="5" fillId="0" borderId="56" xfId="0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5" fillId="0" borderId="33" xfId="0" applyNumberFormat="1" applyFont="1" applyFill="1" applyBorder="1" applyAlignment="1">
      <alignment horizontal="center"/>
    </xf>
    <xf numFmtId="4" fontId="5" fillId="0" borderId="65" xfId="0" applyNumberFormat="1" applyFont="1" applyFill="1" applyBorder="1" applyAlignment="1">
      <alignment horizontal="center"/>
    </xf>
    <xf numFmtId="4" fontId="5" fillId="0" borderId="60" xfId="0" applyNumberFormat="1" applyFont="1" applyFill="1" applyBorder="1" applyAlignment="1">
      <alignment horizontal="center"/>
    </xf>
    <xf numFmtId="4" fontId="5" fillId="0" borderId="33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" fontId="5" fillId="0" borderId="45" xfId="0" applyNumberFormat="1" applyFont="1" applyFill="1" applyBorder="1" applyAlignment="1">
      <alignment horizontal="center"/>
    </xf>
    <xf numFmtId="4" fontId="5" fillId="0" borderId="51" xfId="0" applyNumberFormat="1" applyFont="1" applyFill="1" applyBorder="1" applyAlignment="1">
      <alignment horizontal="center"/>
    </xf>
    <xf numFmtId="4" fontId="5" fillId="0" borderId="52" xfId="0" applyNumberFormat="1" applyFont="1" applyFill="1" applyBorder="1" applyAlignment="1">
      <alignment horizontal="center"/>
    </xf>
    <xf numFmtId="4" fontId="5" fillId="0" borderId="40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4" fontId="6" fillId="2" borderId="29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5" fillId="0" borderId="67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/>
    <xf numFmtId="0" fontId="6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64" xfId="1" applyNumberFormat="1" applyFont="1" applyFill="1" applyBorder="1" applyAlignment="1">
      <alignment horizont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165" fontId="1" fillId="0" borderId="0" xfId="0" applyNumberFormat="1" applyFont="1" applyFill="1"/>
    <xf numFmtId="164" fontId="5" fillId="0" borderId="10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 wrapText="1"/>
    </xf>
    <xf numFmtId="165" fontId="5" fillId="0" borderId="9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165" fontId="5" fillId="0" borderId="35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165" fontId="5" fillId="0" borderId="68" xfId="1" applyNumberFormat="1" applyFont="1" applyFill="1" applyBorder="1" applyAlignment="1">
      <alignment horizontal="center"/>
    </xf>
    <xf numFmtId="165" fontId="5" fillId="0" borderId="38" xfId="1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0" fillId="0" borderId="0" xfId="0" applyNumberFormat="1"/>
    <xf numFmtId="0" fontId="6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6" fillId="0" borderId="6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54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</cellXfs>
  <cellStyles count="25">
    <cellStyle name="Обычный" xfId="0" builtinId="0"/>
    <cellStyle name="Обычный 2" xfId="2" xr:uid="{00000000-0005-0000-0000-000001000000}"/>
    <cellStyle name="Обычный 2 2" xfId="6" xr:uid="{71F6789E-4109-4284-817C-DDFEF7C784AE}"/>
    <cellStyle name="Обычный 2 2 2" xfId="18" xr:uid="{529F6917-BAB5-452B-BE83-30235E9CF2AF}"/>
    <cellStyle name="Обычный 2 3" xfId="10" xr:uid="{4C08046A-C573-4F7A-AFD6-AC6D982D54E1}"/>
    <cellStyle name="Обычный 2 3 2" xfId="22" xr:uid="{66F7B6A5-ACCD-48B9-81E9-8CFD4D65C8D4}"/>
    <cellStyle name="Обычный 2 4" xfId="14" xr:uid="{AEDB932D-C891-4879-9A37-A4FAAC55554C}"/>
    <cellStyle name="Обычный 3" xfId="3" xr:uid="{00000000-0005-0000-0000-000002000000}"/>
    <cellStyle name="Обычный 3 2" xfId="7" xr:uid="{B704905A-7BA9-4448-B728-538B45FBC5AF}"/>
    <cellStyle name="Обычный 3 2 2" xfId="19" xr:uid="{75BB9A5C-F1C4-4B1F-9C1F-F75B9E206539}"/>
    <cellStyle name="Обычный 3 3" xfId="11" xr:uid="{125045A2-E12B-4E81-B89F-6AB49A62179B}"/>
    <cellStyle name="Обычный 3 3 2" xfId="23" xr:uid="{F1874015-7828-4240-8948-EC5BE6068DB9}"/>
    <cellStyle name="Обычный 3 4" xfId="15" xr:uid="{21B11631-BA98-4300-9746-679277EB174B}"/>
    <cellStyle name="Обычный 4" xfId="4" xr:uid="{00000000-0005-0000-0000-000003000000}"/>
    <cellStyle name="Обычный 4 2" xfId="8" xr:uid="{61F6FCE1-9644-4DEB-B4EC-19C705A5B970}"/>
    <cellStyle name="Обычный 4 2 2" xfId="20" xr:uid="{91D3694E-2EBA-4F6D-8CE4-585E6C3A970F}"/>
    <cellStyle name="Обычный 4 3" xfId="12" xr:uid="{1D3B4A30-D659-409A-8B4F-C8CAED2595A2}"/>
    <cellStyle name="Обычный 4 3 2" xfId="24" xr:uid="{3A71E750-2B0D-4718-8357-8B9EBDC12CFA}"/>
    <cellStyle name="Обычный 4 4" xfId="16" xr:uid="{185290E0-0ADB-4F59-AA6D-D1CC701D432A}"/>
    <cellStyle name="Обычный 5" xfId="1" xr:uid="{00000000-0005-0000-0000-000004000000}"/>
    <cellStyle name="Обычный 6" xfId="5" xr:uid="{E66555A6-1E32-400B-98C6-8CA6BBE149D2}"/>
    <cellStyle name="Обычный 6 2" xfId="17" xr:uid="{0DF7A897-7202-4A7C-8D84-7C48D4CB1795}"/>
    <cellStyle name="Обычный 7" xfId="9" xr:uid="{CFFB10DD-0591-4428-97AE-41CA0BE0B792}"/>
    <cellStyle name="Обычный 7 2" xfId="21" xr:uid="{28325173-F434-4354-8B8D-FC12BC4BC45E}"/>
    <cellStyle name="Обычный 8" xfId="13" xr:uid="{D9DB81D6-C635-4660-9865-84DE82798FCF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1" width="9.5703125" style="1" customWidth="1"/>
    <col min="2" max="2" width="11.140625" style="1" customWidth="1"/>
    <col min="3" max="3" width="10.140625" style="1" customWidth="1"/>
    <col min="4" max="4" width="10.85546875" style="1" bestFit="1" customWidth="1"/>
    <col min="5" max="5" width="11" style="1" customWidth="1"/>
    <col min="6" max="6" width="11.28515625" style="1" customWidth="1"/>
    <col min="7" max="7" width="12.85546875" style="1" customWidth="1"/>
    <col min="8" max="8" width="13.42578125" style="1" bestFit="1" customWidth="1"/>
    <col min="9" max="10" width="13.5703125" style="1" bestFit="1" customWidth="1"/>
    <col min="11" max="13" width="14.42578125" style="1" customWidth="1"/>
    <col min="14" max="14" width="14.28515625" style="1" customWidth="1"/>
    <col min="15" max="15" width="16.28515625" style="1" customWidth="1"/>
    <col min="16" max="19" width="14.28515625" style="1" customWidth="1"/>
    <col min="20" max="20" width="15" style="1" customWidth="1"/>
    <col min="21" max="21" width="12.140625" style="1" customWidth="1"/>
    <col min="22" max="22" width="16.28515625" style="1" customWidth="1"/>
    <col min="23" max="23" width="14.85546875" style="1" customWidth="1"/>
    <col min="24" max="24" width="9.28515625" style="1" bestFit="1" customWidth="1"/>
    <col min="25" max="25" width="12" style="1" bestFit="1" customWidth="1"/>
    <col min="26" max="26" width="16.28515625" style="1" bestFit="1" customWidth="1"/>
    <col min="27" max="16384" width="9.140625" style="1"/>
  </cols>
  <sheetData>
    <row r="1" spans="1:20" x14ac:dyDescent="0.25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4"/>
    </row>
    <row r="2" spans="1:20" x14ac:dyDescent="0.25">
      <c r="A2" s="334" t="s">
        <v>89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12"/>
    </row>
    <row r="3" spans="1:20" ht="15.75" thickBot="1" x14ac:dyDescent="0.3">
      <c r="A3" s="50"/>
      <c r="B3" s="50"/>
      <c r="C3" s="50"/>
      <c r="D3" s="52"/>
      <c r="E3" s="50"/>
      <c r="F3" s="50"/>
      <c r="G3" s="50"/>
      <c r="H3" s="52"/>
      <c r="I3" s="50"/>
      <c r="J3" s="50"/>
      <c r="K3" s="50"/>
      <c r="L3" s="52"/>
      <c r="M3" s="52"/>
      <c r="N3" s="50"/>
      <c r="O3" s="50"/>
      <c r="P3" s="50"/>
      <c r="Q3" s="52"/>
      <c r="R3" s="52"/>
      <c r="S3" s="52"/>
      <c r="T3" s="50"/>
    </row>
    <row r="4" spans="1:20" ht="15.75" thickBot="1" x14ac:dyDescent="0.3">
      <c r="A4" s="346" t="s">
        <v>82</v>
      </c>
      <c r="B4" s="342" t="s">
        <v>45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4"/>
      <c r="P4" s="60"/>
      <c r="Q4" s="60"/>
      <c r="R4" s="54"/>
      <c r="S4" s="60"/>
    </row>
    <row r="5" spans="1:20" ht="27.75" customHeight="1" thickBot="1" x14ac:dyDescent="0.3">
      <c r="A5" s="348"/>
      <c r="B5" s="335" t="s">
        <v>52</v>
      </c>
      <c r="C5" s="336"/>
      <c r="D5" s="337"/>
      <c r="E5" s="335" t="s">
        <v>34</v>
      </c>
      <c r="F5" s="336"/>
      <c r="G5" s="337"/>
      <c r="H5" s="335" t="s">
        <v>41</v>
      </c>
      <c r="I5" s="336"/>
      <c r="J5" s="337"/>
      <c r="K5" s="335" t="s">
        <v>35</v>
      </c>
      <c r="L5" s="336"/>
      <c r="M5" s="337"/>
      <c r="N5" s="349" t="s">
        <v>59</v>
      </c>
      <c r="O5" s="351" t="s">
        <v>58</v>
      </c>
      <c r="R5" s="157"/>
      <c r="S5" s="61"/>
    </row>
    <row r="6" spans="1:20" ht="26.25" thickBot="1" x14ac:dyDescent="0.3">
      <c r="A6" s="112"/>
      <c r="B6" s="125" t="s">
        <v>2</v>
      </c>
      <c r="C6" s="126" t="s">
        <v>3</v>
      </c>
      <c r="D6" s="146" t="s">
        <v>11</v>
      </c>
      <c r="E6" s="125" t="s">
        <v>2</v>
      </c>
      <c r="F6" s="126" t="s">
        <v>3</v>
      </c>
      <c r="G6" s="146" t="s">
        <v>11</v>
      </c>
      <c r="H6" s="125" t="s">
        <v>2</v>
      </c>
      <c r="I6" s="126" t="s">
        <v>3</v>
      </c>
      <c r="J6" s="151" t="s">
        <v>53</v>
      </c>
      <c r="K6" s="125" t="s">
        <v>2</v>
      </c>
      <c r="L6" s="126" t="s">
        <v>3</v>
      </c>
      <c r="M6" s="151" t="s">
        <v>53</v>
      </c>
      <c r="N6" s="350"/>
      <c r="O6" s="352"/>
      <c r="P6" s="157"/>
      <c r="Q6" s="9"/>
    </row>
    <row r="7" spans="1:20" x14ac:dyDescent="0.25">
      <c r="A7" s="113" t="s">
        <v>4</v>
      </c>
      <c r="B7" s="143">
        <v>271.96800000000002</v>
      </c>
      <c r="C7" s="143">
        <v>4.109</v>
      </c>
      <c r="D7" s="144">
        <f t="shared" ref="D7:D18" si="0">SUM(B7:C7)</f>
        <v>276.077</v>
      </c>
      <c r="E7" s="143">
        <v>0.48099999999999998</v>
      </c>
      <c r="F7" s="143">
        <v>6.0000000000000001E-3</v>
      </c>
      <c r="G7" s="144">
        <f t="shared" ref="G7:G18" si="1">SUM(E7:F7)</f>
        <v>0.48699999999999999</v>
      </c>
      <c r="H7" s="148">
        <v>155655.45000000001</v>
      </c>
      <c r="I7" s="148">
        <v>5099.72</v>
      </c>
      <c r="J7" s="149">
        <f t="shared" ref="J7:J18" si="2">SUM(H7:I7)</f>
        <v>160755.17000000001</v>
      </c>
      <c r="K7" s="251">
        <v>568802.62</v>
      </c>
      <c r="L7" s="251">
        <v>14985.24</v>
      </c>
      <c r="M7" s="149">
        <f>SUM(K7:L7)</f>
        <v>583787.86</v>
      </c>
      <c r="N7" s="149">
        <f>J7+M7</f>
        <v>744543.03</v>
      </c>
      <c r="O7" s="149">
        <f>ROUND(M7*1.2+J7*1.2,2)-0.01</f>
        <v>893451.63</v>
      </c>
      <c r="P7" s="158"/>
      <c r="R7" s="3"/>
    </row>
    <row r="8" spans="1:20" x14ac:dyDescent="0.25">
      <c r="A8" s="113" t="s">
        <v>5</v>
      </c>
      <c r="B8" s="64">
        <v>276.99700000000001</v>
      </c>
      <c r="C8" s="64">
        <v>3.8</v>
      </c>
      <c r="D8" s="119">
        <f t="shared" si="0"/>
        <v>280.79700000000003</v>
      </c>
      <c r="E8" s="64">
        <v>0.502</v>
      </c>
      <c r="F8" s="64">
        <v>7.0000000000000001E-3</v>
      </c>
      <c r="G8" s="119">
        <f t="shared" si="1"/>
        <v>0.50900000000000001</v>
      </c>
      <c r="H8" s="68">
        <v>158533.69</v>
      </c>
      <c r="I8" s="68">
        <v>4716.22</v>
      </c>
      <c r="J8" s="121">
        <f t="shared" si="2"/>
        <v>163249.91</v>
      </c>
      <c r="K8" s="68">
        <v>593636</v>
      </c>
      <c r="L8" s="68">
        <v>17482.78</v>
      </c>
      <c r="M8" s="121">
        <f t="shared" ref="M8:M16" si="3">SUM(K8:L8)</f>
        <v>611118.78</v>
      </c>
      <c r="N8" s="121">
        <f t="shared" ref="N8:N18" si="4">J8+M8</f>
        <v>774368.69000000006</v>
      </c>
      <c r="O8" s="149">
        <f>ROUND(J8*1.2+M8*1.2,2)</f>
        <v>929242.43</v>
      </c>
      <c r="P8" s="158"/>
      <c r="R8" s="3"/>
    </row>
    <row r="9" spans="1:20" x14ac:dyDescent="0.25">
      <c r="A9" s="113" t="s">
        <v>6</v>
      </c>
      <c r="B9" s="63">
        <v>251.036</v>
      </c>
      <c r="C9" s="64">
        <v>4.0620000000000003</v>
      </c>
      <c r="D9" s="119">
        <f t="shared" si="0"/>
        <v>255.09800000000001</v>
      </c>
      <c r="E9" s="63">
        <v>0.439</v>
      </c>
      <c r="F9" s="64">
        <v>7.0000000000000001E-3</v>
      </c>
      <c r="G9" s="119">
        <f t="shared" si="1"/>
        <v>0.44600000000000001</v>
      </c>
      <c r="H9" s="27">
        <v>143675.43</v>
      </c>
      <c r="I9" s="68">
        <v>5041.3900000000003</v>
      </c>
      <c r="J9" s="121">
        <f t="shared" si="2"/>
        <v>148716.82</v>
      </c>
      <c r="K9" s="91">
        <v>519135.86</v>
      </c>
      <c r="L9" s="68">
        <v>17482.78</v>
      </c>
      <c r="M9" s="121">
        <f t="shared" si="3"/>
        <v>536618.64</v>
      </c>
      <c r="N9" s="121">
        <f t="shared" si="4"/>
        <v>685335.46</v>
      </c>
      <c r="O9" s="149">
        <f>ROUND(J9*1.2+M9*1.2,2)+0.01</f>
        <v>822402.56000000006</v>
      </c>
      <c r="P9" s="158"/>
      <c r="R9" s="3"/>
    </row>
    <row r="10" spans="1:20" x14ac:dyDescent="0.25">
      <c r="A10" s="113" t="s">
        <v>7</v>
      </c>
      <c r="B10" s="63">
        <v>117.405</v>
      </c>
      <c r="C10" s="64">
        <v>4.9489999999999998</v>
      </c>
      <c r="D10" s="119">
        <f t="shared" si="0"/>
        <v>122.354</v>
      </c>
      <c r="E10" s="63">
        <v>0.215</v>
      </c>
      <c r="F10" s="64">
        <v>1.2E-2</v>
      </c>
      <c r="G10" s="119">
        <f t="shared" si="1"/>
        <v>0.22700000000000001</v>
      </c>
      <c r="H10" s="27">
        <v>67194.399999999994</v>
      </c>
      <c r="I10" s="68">
        <v>6142.25</v>
      </c>
      <c r="J10" s="121">
        <f t="shared" si="2"/>
        <v>73336.649999999994</v>
      </c>
      <c r="K10" s="91">
        <v>254246.49</v>
      </c>
      <c r="L10" s="68">
        <v>29970.48</v>
      </c>
      <c r="M10" s="121">
        <f t="shared" si="3"/>
        <v>284216.96999999997</v>
      </c>
      <c r="N10" s="121">
        <f t="shared" si="4"/>
        <v>357553.62</v>
      </c>
      <c r="O10" s="149">
        <f>ROUND(J10*1.2+M10*1.2,2)+0.01</f>
        <v>429064.35000000003</v>
      </c>
      <c r="P10" s="158"/>
      <c r="R10" s="3"/>
    </row>
    <row r="11" spans="1:20" x14ac:dyDescent="0.25">
      <c r="A11" s="113" t="s">
        <v>12</v>
      </c>
      <c r="B11" s="71">
        <v>15.769</v>
      </c>
      <c r="C11" s="72">
        <v>6.7569999999999997</v>
      </c>
      <c r="D11" s="119">
        <f t="shared" si="0"/>
        <v>22.526</v>
      </c>
      <c r="E11" s="71">
        <v>2.1999999999999999E-2</v>
      </c>
      <c r="F11" s="72">
        <v>1.2E-2</v>
      </c>
      <c r="G11" s="119">
        <f t="shared" si="1"/>
        <v>3.4000000000000002E-2</v>
      </c>
      <c r="H11" s="49">
        <v>9025.07</v>
      </c>
      <c r="I11" s="75">
        <v>8386.18</v>
      </c>
      <c r="J11" s="121">
        <f t="shared" si="2"/>
        <v>17411.25</v>
      </c>
      <c r="K11" s="49">
        <v>26015.919999999998</v>
      </c>
      <c r="L11" s="75">
        <v>29970.48</v>
      </c>
      <c r="M11" s="121">
        <f t="shared" si="3"/>
        <v>55986.399999999994</v>
      </c>
      <c r="N11" s="121">
        <f t="shared" si="4"/>
        <v>73397.649999999994</v>
      </c>
      <c r="O11" s="149">
        <f t="shared" ref="O11:O18" si="5">ROUND(N11*1.2,2)</f>
        <v>88077.18</v>
      </c>
      <c r="P11" s="158"/>
      <c r="R11" s="3"/>
    </row>
    <row r="12" spans="1:20" x14ac:dyDescent="0.25">
      <c r="A12" s="113" t="s">
        <v>13</v>
      </c>
      <c r="B12" s="63">
        <v>13.353999999999999</v>
      </c>
      <c r="C12" s="64">
        <v>6.6550000000000002</v>
      </c>
      <c r="D12" s="119">
        <f t="shared" si="0"/>
        <v>20.009</v>
      </c>
      <c r="E12" s="63">
        <v>1.9E-2</v>
      </c>
      <c r="F12" s="64">
        <v>1.0999999999999999E-2</v>
      </c>
      <c r="G12" s="119">
        <f t="shared" si="1"/>
        <v>0.03</v>
      </c>
      <c r="H12" s="27">
        <v>7642.89</v>
      </c>
      <c r="I12" s="68">
        <v>8259.59</v>
      </c>
      <c r="J12" s="121">
        <f t="shared" si="2"/>
        <v>15902.48</v>
      </c>
      <c r="K12" s="91">
        <v>22468.29</v>
      </c>
      <c r="L12" s="68">
        <v>27472.94</v>
      </c>
      <c r="M12" s="121">
        <f t="shared" si="3"/>
        <v>49941.229999999996</v>
      </c>
      <c r="N12" s="121">
        <f t="shared" si="4"/>
        <v>65843.709999999992</v>
      </c>
      <c r="O12" s="149">
        <f>ROUND(N12*1.2,2)+0.01</f>
        <v>79012.459999999992</v>
      </c>
      <c r="P12" s="158"/>
      <c r="R12" s="3"/>
    </row>
    <row r="13" spans="1:20" x14ac:dyDescent="0.25">
      <c r="A13" s="113" t="s">
        <v>14</v>
      </c>
      <c r="B13" s="63">
        <v>8.8000000000000007</v>
      </c>
      <c r="C13" s="64">
        <v>6.5510000000000002</v>
      </c>
      <c r="D13" s="119">
        <f t="shared" si="0"/>
        <v>15.351000000000001</v>
      </c>
      <c r="E13" s="63">
        <v>1.4E-2</v>
      </c>
      <c r="F13" s="64">
        <v>1.0999999999999999E-2</v>
      </c>
      <c r="G13" s="119">
        <f t="shared" si="1"/>
        <v>2.5000000000000001E-2</v>
      </c>
      <c r="H13" s="27">
        <v>5489.7</v>
      </c>
      <c r="I13" s="68">
        <v>7747.87</v>
      </c>
      <c r="J13" s="121">
        <f t="shared" si="2"/>
        <v>13237.57</v>
      </c>
      <c r="K13" s="91">
        <v>17052.25</v>
      </c>
      <c r="L13" s="68">
        <v>28297.13</v>
      </c>
      <c r="M13" s="121">
        <f>SUM(K13:L13)</f>
        <v>45349.380000000005</v>
      </c>
      <c r="N13" s="121">
        <f t="shared" si="4"/>
        <v>58586.950000000004</v>
      </c>
      <c r="O13" s="149">
        <f t="shared" si="5"/>
        <v>70304.34</v>
      </c>
      <c r="P13" s="158"/>
      <c r="R13" s="3"/>
    </row>
    <row r="14" spans="1:20" x14ac:dyDescent="0.25">
      <c r="A14" s="113" t="s">
        <v>15</v>
      </c>
      <c r="B14" s="63">
        <v>6.375</v>
      </c>
      <c r="C14" s="64">
        <v>7.2460000000000004</v>
      </c>
      <c r="D14" s="119">
        <f t="shared" si="0"/>
        <v>13.621</v>
      </c>
      <c r="E14" s="71">
        <v>1.0999999999999999E-2</v>
      </c>
      <c r="F14" s="72">
        <v>1.0999999999999999E-2</v>
      </c>
      <c r="G14" s="119">
        <f t="shared" si="1"/>
        <v>2.1999999999999999E-2</v>
      </c>
      <c r="H14" s="49">
        <v>3976.92</v>
      </c>
      <c r="I14" s="75">
        <v>8569.84</v>
      </c>
      <c r="J14" s="121">
        <f t="shared" si="2"/>
        <v>12546.76</v>
      </c>
      <c r="K14" s="93">
        <v>13398.2</v>
      </c>
      <c r="L14" s="75">
        <v>28297.13</v>
      </c>
      <c r="M14" s="121">
        <f t="shared" si="3"/>
        <v>41695.33</v>
      </c>
      <c r="N14" s="121">
        <f t="shared" si="4"/>
        <v>54242.090000000004</v>
      </c>
      <c r="O14" s="149">
        <f t="shared" si="5"/>
        <v>65090.51</v>
      </c>
      <c r="P14" s="158"/>
      <c r="R14" s="3"/>
    </row>
    <row r="15" spans="1:20" x14ac:dyDescent="0.25">
      <c r="A15" s="113" t="s">
        <v>16</v>
      </c>
      <c r="B15" s="63">
        <v>14.596</v>
      </c>
      <c r="C15" s="64">
        <v>8.6210000000000004</v>
      </c>
      <c r="D15" s="119">
        <f t="shared" si="0"/>
        <v>23.216999999999999</v>
      </c>
      <c r="E15" s="71">
        <v>2.1000000000000001E-2</v>
      </c>
      <c r="F15" s="72">
        <v>1.4999999999999999E-2</v>
      </c>
      <c r="G15" s="119">
        <f t="shared" si="1"/>
        <v>3.6000000000000004E-2</v>
      </c>
      <c r="H15" s="49">
        <v>9105.42</v>
      </c>
      <c r="I15" s="75">
        <v>10196.06</v>
      </c>
      <c r="J15" s="121">
        <f t="shared" si="2"/>
        <v>19301.48</v>
      </c>
      <c r="K15" s="93">
        <v>25578.38</v>
      </c>
      <c r="L15" s="75">
        <v>38586.99</v>
      </c>
      <c r="M15" s="121">
        <f t="shared" si="3"/>
        <v>64165.369999999995</v>
      </c>
      <c r="N15" s="121">
        <f t="shared" si="4"/>
        <v>83466.849999999991</v>
      </c>
      <c r="O15" s="149">
        <f>ROUND(N15*1.2,2)</f>
        <v>100160.22</v>
      </c>
      <c r="P15" s="158"/>
      <c r="R15" s="3"/>
    </row>
    <row r="16" spans="1:20" x14ac:dyDescent="0.25">
      <c r="A16" s="113" t="s">
        <v>17</v>
      </c>
      <c r="B16" s="71">
        <v>17.012</v>
      </c>
      <c r="C16" s="72">
        <v>12.829000000000001</v>
      </c>
      <c r="D16" s="119">
        <f t="shared" si="0"/>
        <v>29.841000000000001</v>
      </c>
      <c r="E16" s="71">
        <v>2.4E-2</v>
      </c>
      <c r="F16" s="72">
        <v>1.9E-2</v>
      </c>
      <c r="G16" s="119">
        <f t="shared" si="1"/>
        <v>4.2999999999999997E-2</v>
      </c>
      <c r="H16" s="49">
        <v>10612.6</v>
      </c>
      <c r="I16" s="75">
        <v>15172.86</v>
      </c>
      <c r="J16" s="121">
        <f t="shared" si="2"/>
        <v>25785.46</v>
      </c>
      <c r="K16" s="93">
        <v>29232.43</v>
      </c>
      <c r="L16" s="75">
        <v>48876.86</v>
      </c>
      <c r="M16" s="121">
        <f t="shared" si="3"/>
        <v>78109.290000000008</v>
      </c>
      <c r="N16" s="121">
        <f t="shared" si="4"/>
        <v>103894.75</v>
      </c>
      <c r="O16" s="149">
        <f t="shared" si="5"/>
        <v>124673.7</v>
      </c>
      <c r="P16" s="158"/>
      <c r="R16" s="3"/>
    </row>
    <row r="17" spans="1:23" x14ac:dyDescent="0.25">
      <c r="A17" s="113" t="s">
        <v>18</v>
      </c>
      <c r="B17" s="71">
        <v>15.286</v>
      </c>
      <c r="C17" s="72">
        <v>6.8280000000000003</v>
      </c>
      <c r="D17" s="119">
        <f t="shared" si="0"/>
        <v>22.114000000000001</v>
      </c>
      <c r="E17" s="71">
        <v>2.1999999999999999E-2</v>
      </c>
      <c r="F17" s="72">
        <v>1.0999999999999999E-2</v>
      </c>
      <c r="G17" s="119">
        <f t="shared" si="1"/>
        <v>3.3000000000000002E-2</v>
      </c>
      <c r="H17" s="49">
        <v>9535.8700000000008</v>
      </c>
      <c r="I17" s="75">
        <v>8075.48</v>
      </c>
      <c r="J17" s="121">
        <f t="shared" si="2"/>
        <v>17611.349999999999</v>
      </c>
      <c r="K17" s="93">
        <v>26796.400000000001</v>
      </c>
      <c r="L17" s="75">
        <v>28297.13</v>
      </c>
      <c r="M17" s="121">
        <f>SUM(K17:L17)</f>
        <v>55093.53</v>
      </c>
      <c r="N17" s="121">
        <f t="shared" si="4"/>
        <v>72704.88</v>
      </c>
      <c r="O17" s="149">
        <f t="shared" si="5"/>
        <v>87245.86</v>
      </c>
      <c r="P17" s="158"/>
      <c r="R17" s="3"/>
    </row>
    <row r="18" spans="1:23" ht="15.75" thickBot="1" x14ac:dyDescent="0.3">
      <c r="A18" s="114" t="s">
        <v>19</v>
      </c>
      <c r="B18" s="76">
        <v>12.846</v>
      </c>
      <c r="C18" s="77">
        <v>6.8330000000000002</v>
      </c>
      <c r="D18" s="120">
        <f t="shared" si="0"/>
        <v>19.679000000000002</v>
      </c>
      <c r="E18" s="78">
        <v>1.7000000000000001E-2</v>
      </c>
      <c r="F18" s="79">
        <v>1.0999999999999999E-2</v>
      </c>
      <c r="G18" s="120">
        <f t="shared" si="1"/>
        <v>2.8000000000000001E-2</v>
      </c>
      <c r="H18" s="80">
        <v>8013.72</v>
      </c>
      <c r="I18" s="82">
        <v>8081.39</v>
      </c>
      <c r="J18" s="122">
        <f t="shared" si="2"/>
        <v>16095.11</v>
      </c>
      <c r="K18" s="250">
        <v>20706.310000000001</v>
      </c>
      <c r="L18" s="231">
        <v>28297.13</v>
      </c>
      <c r="M18" s="122">
        <f>SUM(K18:L18)</f>
        <v>49003.44</v>
      </c>
      <c r="N18" s="122">
        <f t="shared" si="4"/>
        <v>65098.55</v>
      </c>
      <c r="O18" s="149">
        <f t="shared" si="5"/>
        <v>78118.259999999995</v>
      </c>
      <c r="P18" s="158"/>
      <c r="R18" s="3"/>
    </row>
    <row r="19" spans="1:23" ht="15.75" thickBot="1" x14ac:dyDescent="0.3">
      <c r="A19" s="106" t="s">
        <v>11</v>
      </c>
      <c r="B19" s="107">
        <f t="shared" ref="B19:G19" si="6">SUM(B7:B18)</f>
        <v>1021.4439999999998</v>
      </c>
      <c r="C19" s="107">
        <f t="shared" si="6"/>
        <v>79.240000000000009</v>
      </c>
      <c r="D19" s="83">
        <f t="shared" si="6"/>
        <v>1100.684</v>
      </c>
      <c r="E19" s="118">
        <f t="shared" si="6"/>
        <v>1.7869999999999997</v>
      </c>
      <c r="F19" s="107">
        <f t="shared" si="6"/>
        <v>0.13299999999999998</v>
      </c>
      <c r="G19" s="83">
        <f t="shared" si="6"/>
        <v>1.92</v>
      </c>
      <c r="H19" s="118">
        <f t="shared" ref="H19:L19" si="7">SUM(H7:H18)</f>
        <v>588461.15999999992</v>
      </c>
      <c r="I19" s="249">
        <f t="shared" si="7"/>
        <v>95488.85</v>
      </c>
      <c r="J19" s="83">
        <f t="shared" ref="J19" si="8">SUM(J7:J18)</f>
        <v>683950.00999999989</v>
      </c>
      <c r="K19" s="117">
        <f t="shared" si="7"/>
        <v>2117069.1499999994</v>
      </c>
      <c r="L19" s="85">
        <f t="shared" si="7"/>
        <v>338017.07</v>
      </c>
      <c r="M19" s="156">
        <f>SUM(M7:M18)</f>
        <v>2455086.2200000002</v>
      </c>
      <c r="N19" s="156">
        <f>SUM(N7:N18)</f>
        <v>3139036.23</v>
      </c>
      <c r="O19" s="123">
        <f>SUM(O7:O18)</f>
        <v>3766843.5</v>
      </c>
      <c r="P19" s="89"/>
      <c r="R19" s="3"/>
    </row>
    <row r="20" spans="1:23" x14ac:dyDescent="0.25">
      <c r="A20" s="60"/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88"/>
      <c r="M20" s="87"/>
      <c r="N20" s="88"/>
      <c r="O20" s="89"/>
      <c r="P20" s="89"/>
      <c r="Q20" s="89"/>
      <c r="R20" s="89"/>
      <c r="S20" s="89"/>
      <c r="V20" s="3"/>
    </row>
    <row r="21" spans="1:23" x14ac:dyDescent="0.25">
      <c r="A21" s="333" t="s">
        <v>44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</row>
    <row r="22" spans="1:23" x14ac:dyDescent="0.25">
      <c r="A22" s="334" t="s">
        <v>101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</row>
    <row r="23" spans="1:23" ht="12" customHeight="1" thickBot="1" x14ac:dyDescent="0.3">
      <c r="F23" s="2"/>
    </row>
    <row r="24" spans="1:23" ht="15.75" thickBot="1" x14ac:dyDescent="0.3">
      <c r="A24" s="346" t="s">
        <v>82</v>
      </c>
      <c r="B24" s="342" t="s">
        <v>46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4"/>
    </row>
    <row r="25" spans="1:23" ht="17.25" customHeight="1" thickBot="1" x14ac:dyDescent="0.3">
      <c r="A25" s="347"/>
      <c r="B25" s="339" t="s">
        <v>52</v>
      </c>
      <c r="C25" s="340"/>
      <c r="D25" s="340"/>
      <c r="E25" s="340"/>
      <c r="F25" s="340"/>
      <c r="G25" s="340"/>
      <c r="H25" s="340"/>
      <c r="I25" s="341"/>
      <c r="J25" s="335" t="s">
        <v>32</v>
      </c>
      <c r="K25" s="336"/>
      <c r="L25" s="336"/>
      <c r="M25" s="336"/>
      <c r="N25" s="336"/>
      <c r="O25" s="336"/>
      <c r="P25" s="336"/>
      <c r="Q25" s="336"/>
      <c r="R25" s="336"/>
      <c r="S25" s="337"/>
    </row>
    <row r="26" spans="1:23" ht="39" thickBot="1" x14ac:dyDescent="0.3">
      <c r="A26" s="137"/>
      <c r="B26" s="134" t="s">
        <v>1</v>
      </c>
      <c r="C26" s="126" t="s">
        <v>40</v>
      </c>
      <c r="D26" s="126" t="s">
        <v>2</v>
      </c>
      <c r="E26" s="127" t="s">
        <v>3</v>
      </c>
      <c r="F26" s="127" t="s">
        <v>55</v>
      </c>
      <c r="G26" s="127" t="s">
        <v>56</v>
      </c>
      <c r="H26" s="152" t="s">
        <v>57</v>
      </c>
      <c r="I26" s="146" t="s">
        <v>11</v>
      </c>
      <c r="J26" s="125" t="s">
        <v>1</v>
      </c>
      <c r="K26" s="126" t="s">
        <v>40</v>
      </c>
      <c r="L26" s="126" t="s">
        <v>2</v>
      </c>
      <c r="M26" s="127" t="s">
        <v>3</v>
      </c>
      <c r="N26" s="127" t="s">
        <v>55</v>
      </c>
      <c r="O26" s="127" t="s">
        <v>56</v>
      </c>
      <c r="P26" s="127" t="s">
        <v>57</v>
      </c>
      <c r="Q26" s="140" t="s">
        <v>61</v>
      </c>
      <c r="R26" s="140" t="s">
        <v>60</v>
      </c>
      <c r="S26" s="151" t="s">
        <v>54</v>
      </c>
      <c r="T26" s="57"/>
    </row>
    <row r="27" spans="1:23" x14ac:dyDescent="0.25">
      <c r="A27" s="113" t="s">
        <v>4</v>
      </c>
      <c r="B27" s="135">
        <v>3375.116</v>
      </c>
      <c r="C27" s="124">
        <v>245.30500000000001</v>
      </c>
      <c r="D27" s="124">
        <v>10789.387000000001</v>
      </c>
      <c r="E27" s="124">
        <v>1955.992</v>
      </c>
      <c r="F27" s="124">
        <f>16.304+64.52+19.062+27.742+4579.441</f>
        <v>4707.0689999999995</v>
      </c>
      <c r="G27" s="124">
        <f>539.141+273.884+23.3+517.277+5476</f>
        <v>6829.6019999999999</v>
      </c>
      <c r="H27" s="128">
        <f>748.628+349.086+16.844+1.32+164.502</f>
        <v>1280.3799999999999</v>
      </c>
      <c r="I27" s="129">
        <f>SUM(B27:H27)</f>
        <v>29182.850999999999</v>
      </c>
      <c r="J27" s="26">
        <v>4107482.42</v>
      </c>
      <c r="K27" s="62">
        <v>341486.64</v>
      </c>
      <c r="L27" s="62">
        <v>29336559.039999999</v>
      </c>
      <c r="M27" s="62">
        <v>10502777.279999999</v>
      </c>
      <c r="N27" s="62">
        <f>13577.65+53730.97+31283.03+23102.98+3813666.88</f>
        <v>3935361.51</v>
      </c>
      <c r="O27" s="62">
        <f>1068997.99+543051.72+76683.1+1025646.49+10857703.28</f>
        <v>13572082.579999998</v>
      </c>
      <c r="P27" s="62">
        <f>623442.43+692160.74+27643.03+2166.28+541395.82</f>
        <v>1886808.2999999998</v>
      </c>
      <c r="Q27" s="62">
        <f>SUM(J27:M27)</f>
        <v>44288305.380000003</v>
      </c>
      <c r="R27" s="62">
        <f>SUM(N27:P27)</f>
        <v>19394252.389999997</v>
      </c>
      <c r="S27" s="153">
        <f>ROUND(Q27*1.2+R27*1.2,2)+0.03</f>
        <v>76419069.349999994</v>
      </c>
      <c r="T27" s="58"/>
      <c r="V27" s="41"/>
      <c r="W27" s="42"/>
    </row>
    <row r="28" spans="1:23" x14ac:dyDescent="0.25">
      <c r="A28" s="113" t="s">
        <v>5</v>
      </c>
      <c r="B28" s="110">
        <v>3108.1469999999999</v>
      </c>
      <c r="C28" s="64">
        <v>254.637</v>
      </c>
      <c r="D28" s="64">
        <v>10812.646000000001</v>
      </c>
      <c r="E28" s="64">
        <v>1981.7950000000001</v>
      </c>
      <c r="F28" s="64">
        <f>17.295+59.42+0.56+25.164+34.04+4463.622</f>
        <v>4600.1010000000006</v>
      </c>
      <c r="G28" s="64">
        <f>592.238+257.474+1.579+26.084+659.37+4687.277</f>
        <v>6224.0219999999999</v>
      </c>
      <c r="H28" s="65">
        <f>720.386+238.907+15.497+1.32+176.132</f>
        <v>1152.242</v>
      </c>
      <c r="I28" s="119">
        <f>SUM(B28:H28)</f>
        <v>28133.59</v>
      </c>
      <c r="J28" s="27">
        <v>3782583.82</v>
      </c>
      <c r="K28" s="67">
        <v>354477.62</v>
      </c>
      <c r="L28" s="67">
        <v>29399800.73</v>
      </c>
      <c r="M28" s="67">
        <v>10641327.52</v>
      </c>
      <c r="N28" s="67">
        <f>14402.93+49483.79+466.36+41297.14+28347.83+3717215.13</f>
        <v>3851213.1799999997</v>
      </c>
      <c r="O28" s="67">
        <f>1174277.66+510514.3+3130.81+85845.57+1307385.65+9293839.09</f>
        <v>12374993.08</v>
      </c>
      <c r="P28" s="67">
        <f>599923.05+473700.02+25432.44+2166.28+579671.55</f>
        <v>1680893.34</v>
      </c>
      <c r="Q28" s="67">
        <f>SUM(J28:M28)</f>
        <v>44178189.689999998</v>
      </c>
      <c r="R28" s="67">
        <f t="shared" ref="R28:R35" si="9">SUM(N28:P28)</f>
        <v>17907099.600000001</v>
      </c>
      <c r="S28" s="121">
        <f>R28*1.2+Q28*1.2</f>
        <v>74502347.148000002</v>
      </c>
      <c r="T28" s="58"/>
      <c r="V28" s="41"/>
      <c r="W28" s="42"/>
    </row>
    <row r="29" spans="1:23" x14ac:dyDescent="0.25">
      <c r="A29" s="113" t="s">
        <v>6</v>
      </c>
      <c r="B29" s="110">
        <v>2210.1060000000002</v>
      </c>
      <c r="C29" s="64">
        <v>243.85499999999999</v>
      </c>
      <c r="D29" s="64">
        <v>9504.6119999999992</v>
      </c>
      <c r="E29" s="64">
        <v>1805.6590000000001</v>
      </c>
      <c r="F29" s="64">
        <f>18.627+58.78+16.306+32.163+4499.395</f>
        <v>4625.2710000000006</v>
      </c>
      <c r="G29" s="64">
        <f>465.629+197.05+14.651+530.214+3882.047</f>
        <v>5089.5910000000003</v>
      </c>
      <c r="H29" s="65">
        <f>697.063+234.518+12.164+1.32+155.133</f>
        <v>1100.1980000000001</v>
      </c>
      <c r="I29" s="119">
        <f t="shared" ref="I29:I37" si="10">SUM(B29:H29)</f>
        <v>24579.292000000001</v>
      </c>
      <c r="J29" s="27">
        <v>2689676.9</v>
      </c>
      <c r="K29" s="67">
        <v>339468.11</v>
      </c>
      <c r="L29" s="67">
        <v>25843230.120000001</v>
      </c>
      <c r="M29" s="67">
        <v>9695558.2300000004</v>
      </c>
      <c r="N29" s="67">
        <f>15512.19+48950.81+26760.1+26784.7+3747006.17</f>
        <v>3865013.9699999997</v>
      </c>
      <c r="O29" s="67">
        <f>923239.87+390706.8+48218.2+1051297.71+7697245.15</f>
        <v>10110707.73</v>
      </c>
      <c r="P29" s="67">
        <f>580500.13+464997.6+19962.58+2166.28+510561.32</f>
        <v>1578187.9100000001</v>
      </c>
      <c r="Q29" s="67">
        <f t="shared" ref="Q29:Q31" si="11">SUM(J29:M29)</f>
        <v>38567933.359999999</v>
      </c>
      <c r="R29" s="67">
        <f t="shared" si="9"/>
        <v>15553909.609999999</v>
      </c>
      <c r="S29" s="121">
        <f>R29*1.2+Q29*1.2</f>
        <v>64946211.563999996</v>
      </c>
      <c r="T29" s="58"/>
      <c r="V29" s="41"/>
      <c r="W29" s="42"/>
    </row>
    <row r="30" spans="1:23" x14ac:dyDescent="0.25">
      <c r="A30" s="113" t="s">
        <v>7</v>
      </c>
      <c r="B30" s="110">
        <v>1831.3579999999999</v>
      </c>
      <c r="C30" s="64">
        <v>164.59399999999999</v>
      </c>
      <c r="D30" s="64">
        <v>8484.7810000000009</v>
      </c>
      <c r="E30" s="64">
        <v>1709.729</v>
      </c>
      <c r="F30" s="64">
        <f>17.893+58.814+15.458+35.366+4626.568</f>
        <v>4754.0990000000002</v>
      </c>
      <c r="G30" s="64">
        <f>383.792+186.642+13.944+396.099+4135.334</f>
        <v>5115.8109999999997</v>
      </c>
      <c r="H30" s="65">
        <f>638.182+109.939+13.276+1.305+138.974</f>
        <v>901.67599999999993</v>
      </c>
      <c r="I30" s="119">
        <f t="shared" si="10"/>
        <v>22962.048000000003</v>
      </c>
      <c r="J30" s="27">
        <v>2228744.37</v>
      </c>
      <c r="K30" s="67">
        <v>229129.66</v>
      </c>
      <c r="L30" s="67">
        <v>23070289.23</v>
      </c>
      <c r="M30" s="67">
        <v>9180458.25</v>
      </c>
      <c r="N30" s="67">
        <f>14900.93+48979.12+25368.43+29452.1+3852913.3</f>
        <v>3971613.88</v>
      </c>
      <c r="O30" s="67">
        <f>760975.1+370070.02+45891.38+785377.18+8199457.55</f>
        <v>10161771.23</v>
      </c>
      <c r="P30" s="67">
        <f>531465.21+217984.85+21787.51+2141.66+457380.11</f>
        <v>1230759.3399999999</v>
      </c>
      <c r="Q30" s="67">
        <f t="shared" si="11"/>
        <v>34708621.510000005</v>
      </c>
      <c r="R30" s="67">
        <f t="shared" si="9"/>
        <v>15364144.449999999</v>
      </c>
      <c r="S30" s="121">
        <f>R30*1.2+Q30*1.2</f>
        <v>60087319.15200001</v>
      </c>
      <c r="T30" s="58"/>
      <c r="V30" s="41"/>
      <c r="W30" s="42"/>
    </row>
    <row r="31" spans="1:23" x14ac:dyDescent="0.25">
      <c r="A31" s="113" t="s">
        <v>12</v>
      </c>
      <c r="B31" s="111">
        <v>1451.9269999999999</v>
      </c>
      <c r="C31" s="72">
        <v>144.339</v>
      </c>
      <c r="D31" s="72">
        <v>7341.5370000000003</v>
      </c>
      <c r="E31" s="72">
        <v>1717.3679999999999</v>
      </c>
      <c r="F31" s="72">
        <v>4642.0039999999999</v>
      </c>
      <c r="G31" s="72">
        <v>3814.1260000000002</v>
      </c>
      <c r="H31" s="73">
        <v>840.43799999999999</v>
      </c>
      <c r="I31" s="119">
        <f t="shared" si="10"/>
        <v>19951.738999999998</v>
      </c>
      <c r="J31" s="49">
        <v>1766980.64</v>
      </c>
      <c r="K31" s="74">
        <v>200932.88</v>
      </c>
      <c r="L31" s="74">
        <v>19961785.93</v>
      </c>
      <c r="M31" s="74">
        <v>9221476.1699999999</v>
      </c>
      <c r="N31" s="74">
        <v>3877333.82</v>
      </c>
      <c r="O31" s="74">
        <v>7604529.9000000004</v>
      </c>
      <c r="P31" s="74">
        <v>1070036.67</v>
      </c>
      <c r="Q31" s="67">
        <f t="shared" si="11"/>
        <v>31151175.619999997</v>
      </c>
      <c r="R31" s="67">
        <f t="shared" si="9"/>
        <v>12551900.390000001</v>
      </c>
      <c r="S31" s="121">
        <f>(R31+Q31)*1.2+0.01</f>
        <v>52443691.221999995</v>
      </c>
      <c r="T31" s="58"/>
      <c r="V31" s="41"/>
      <c r="W31" s="42"/>
    </row>
    <row r="32" spans="1:23" x14ac:dyDescent="0.25">
      <c r="A32" s="113" t="s">
        <v>13</v>
      </c>
      <c r="B32" s="111">
        <v>1067.856</v>
      </c>
      <c r="C32" s="72">
        <v>112.32899999999999</v>
      </c>
      <c r="D32" s="72">
        <v>7290.4920000000002</v>
      </c>
      <c r="E32" s="72">
        <v>1814.309</v>
      </c>
      <c r="F32" s="64">
        <v>4644.6419999999998</v>
      </c>
      <c r="G32" s="64">
        <v>4095.9520000000002</v>
      </c>
      <c r="H32" s="65">
        <v>829.654</v>
      </c>
      <c r="I32" s="119">
        <f t="shared" si="10"/>
        <v>19855.233999999997</v>
      </c>
      <c r="J32" s="141">
        <v>1299570.07</v>
      </c>
      <c r="K32" s="67">
        <v>156372.07999999999</v>
      </c>
      <c r="L32" s="67">
        <v>19822993.559999999</v>
      </c>
      <c r="M32" s="67">
        <v>9742004.75</v>
      </c>
      <c r="N32" s="67">
        <v>3878738.52</v>
      </c>
      <c r="O32" s="67">
        <v>8142978.9400000004</v>
      </c>
      <c r="P32" s="67">
        <v>1020931.53</v>
      </c>
      <c r="Q32" s="67">
        <f t="shared" ref="Q32:Q38" si="12">SUM(J32:M32)</f>
        <v>31020940.459999997</v>
      </c>
      <c r="R32" s="67">
        <f t="shared" si="9"/>
        <v>13042648.99</v>
      </c>
      <c r="S32" s="121">
        <f t="shared" ref="S32:S35" si="13">(R32+Q32)*1.2</f>
        <v>52876307.339999996</v>
      </c>
      <c r="T32" s="58"/>
      <c r="V32" s="41"/>
      <c r="W32" s="42"/>
    </row>
    <row r="33" spans="1:23" x14ac:dyDescent="0.25">
      <c r="A33" s="113" t="s">
        <v>14</v>
      </c>
      <c r="B33" s="110">
        <v>1126.174</v>
      </c>
      <c r="C33" s="64">
        <v>113.465</v>
      </c>
      <c r="D33" s="64">
        <v>8364.0930000000008</v>
      </c>
      <c r="E33" s="64">
        <v>2140.1109999999999</v>
      </c>
      <c r="F33" s="64">
        <v>4635.9709999999995</v>
      </c>
      <c r="G33" s="64">
        <v>4095.8939999999998</v>
      </c>
      <c r="H33" s="65">
        <v>737.09199999999998</v>
      </c>
      <c r="I33" s="119">
        <f t="shared" si="10"/>
        <v>21212.799999999999</v>
      </c>
      <c r="J33" s="27">
        <v>1644653.25</v>
      </c>
      <c r="K33" s="67">
        <v>204233.60000000001</v>
      </c>
      <c r="L33" s="67">
        <v>23424395.210000001</v>
      </c>
      <c r="M33" s="67">
        <v>11491411.619999999</v>
      </c>
      <c r="N33" s="67">
        <v>2665269.25</v>
      </c>
      <c r="O33" s="67">
        <v>7519654.5899999999</v>
      </c>
      <c r="P33" s="67">
        <v>684012.41</v>
      </c>
      <c r="Q33" s="67">
        <f t="shared" si="12"/>
        <v>36764693.68</v>
      </c>
      <c r="R33" s="67">
        <f t="shared" si="9"/>
        <v>10868936.25</v>
      </c>
      <c r="S33" s="121">
        <f>(R33+Q33)*1.2-0.01</f>
        <v>57160355.906000003</v>
      </c>
      <c r="T33" s="58"/>
      <c r="V33" s="41"/>
      <c r="W33" s="42"/>
    </row>
    <row r="34" spans="1:23" x14ac:dyDescent="0.25">
      <c r="A34" s="113" t="s">
        <v>15</v>
      </c>
      <c r="B34" s="110">
        <v>1163.5530000000001</v>
      </c>
      <c r="C34" s="64">
        <v>102.256</v>
      </c>
      <c r="D34" s="64">
        <v>7823.0969999999998</v>
      </c>
      <c r="E34" s="64">
        <v>2072.3829999999998</v>
      </c>
      <c r="F34" s="64">
        <v>4676.1859999999997</v>
      </c>
      <c r="G34" s="64">
        <v>4007.4389999999999</v>
      </c>
      <c r="H34" s="65">
        <v>772.91700000000003</v>
      </c>
      <c r="I34" s="119">
        <f t="shared" si="10"/>
        <v>20617.830999999998</v>
      </c>
      <c r="J34" s="27">
        <v>1699241.17</v>
      </c>
      <c r="K34" s="67">
        <v>184057.73</v>
      </c>
      <c r="L34" s="67">
        <v>21909287.23</v>
      </c>
      <c r="M34" s="67">
        <v>11127743.41</v>
      </c>
      <c r="N34" s="67">
        <v>2691039.3</v>
      </c>
      <c r="O34" s="67">
        <v>7361432.29</v>
      </c>
      <c r="P34" s="67">
        <v>745671.32</v>
      </c>
      <c r="Q34" s="67">
        <f t="shared" si="12"/>
        <v>34920329.539999999</v>
      </c>
      <c r="R34" s="67">
        <f t="shared" si="9"/>
        <v>10798142.91</v>
      </c>
      <c r="S34" s="121">
        <f>(R34+Q34)*1.2-0.01</f>
        <v>54862166.930000007</v>
      </c>
      <c r="T34" s="58"/>
      <c r="V34" s="41"/>
      <c r="W34" s="42"/>
    </row>
    <row r="35" spans="1:23" x14ac:dyDescent="0.25">
      <c r="A35" s="113" t="s">
        <v>16</v>
      </c>
      <c r="B35" s="111">
        <v>1478.665</v>
      </c>
      <c r="C35" s="72">
        <v>112.262</v>
      </c>
      <c r="D35" s="72">
        <v>7268.558</v>
      </c>
      <c r="E35" s="72">
        <v>1873.297</v>
      </c>
      <c r="F35" s="72">
        <v>4721.2579999999998</v>
      </c>
      <c r="G35" s="72">
        <v>4676.9179999999997</v>
      </c>
      <c r="H35" s="73">
        <v>978.755</v>
      </c>
      <c r="I35" s="119">
        <f t="shared" si="10"/>
        <v>21109.713</v>
      </c>
      <c r="J35" s="49">
        <v>2159427.58</v>
      </c>
      <c r="K35" s="74">
        <v>202068.23</v>
      </c>
      <c r="L35" s="74">
        <v>20356250.850000001</v>
      </c>
      <c r="M35" s="74">
        <v>10058743.17</v>
      </c>
      <c r="N35" s="74">
        <v>2720340.96</v>
      </c>
      <c r="O35" s="74">
        <v>8603501.9800000004</v>
      </c>
      <c r="P35" s="74">
        <v>1094746.43</v>
      </c>
      <c r="Q35" s="67">
        <f t="shared" si="12"/>
        <v>32776489.829999998</v>
      </c>
      <c r="R35" s="67">
        <f t="shared" si="9"/>
        <v>12418589.370000001</v>
      </c>
      <c r="S35" s="121">
        <f t="shared" si="13"/>
        <v>54234095.039999999</v>
      </c>
      <c r="T35" s="58"/>
      <c r="V35" s="41"/>
      <c r="W35" s="42"/>
    </row>
    <row r="36" spans="1:23" s="5" customFormat="1" x14ac:dyDescent="0.25">
      <c r="A36" s="138" t="s">
        <v>17</v>
      </c>
      <c r="B36" s="111">
        <v>1975.309</v>
      </c>
      <c r="C36" s="72">
        <v>153.167</v>
      </c>
      <c r="D36" s="72">
        <v>8433.35</v>
      </c>
      <c r="E36" s="72">
        <v>1794.9960000000001</v>
      </c>
      <c r="F36" s="72">
        <v>4774.2160000000003</v>
      </c>
      <c r="G36" s="72">
        <v>4346.768</v>
      </c>
      <c r="H36" s="73">
        <v>996.928</v>
      </c>
      <c r="I36" s="119">
        <f t="shared" si="10"/>
        <v>22474.734</v>
      </c>
      <c r="J36" s="49">
        <v>2884721.51</v>
      </c>
      <c r="K36" s="74">
        <v>275696</v>
      </c>
      <c r="L36" s="74">
        <v>23618355.68</v>
      </c>
      <c r="M36" s="74">
        <v>9638302.8200000003</v>
      </c>
      <c r="N36" s="74">
        <v>2756246.88</v>
      </c>
      <c r="O36" s="74">
        <v>7982914.3700000001</v>
      </c>
      <c r="P36" s="74">
        <v>1182007.27</v>
      </c>
      <c r="Q36" s="67">
        <f t="shared" si="12"/>
        <v>36417076.009999998</v>
      </c>
      <c r="R36" s="67">
        <f>SUM(N36:P36)</f>
        <v>11921168.52</v>
      </c>
      <c r="S36" s="121">
        <f>(R36+Q36)*1.2-0.01</f>
        <v>58005893.425999999</v>
      </c>
      <c r="T36" s="58"/>
      <c r="V36" s="41"/>
      <c r="W36" s="42"/>
    </row>
    <row r="37" spans="1:23" s="5" customFormat="1" x14ac:dyDescent="0.25">
      <c r="A37" s="138" t="s">
        <v>18</v>
      </c>
      <c r="B37" s="111">
        <v>1972.1130000000001</v>
      </c>
      <c r="C37" s="72">
        <v>159.42099999999999</v>
      </c>
      <c r="D37" s="72">
        <v>8827.99</v>
      </c>
      <c r="E37" s="72">
        <v>1931.7149999999999</v>
      </c>
      <c r="F37" s="72">
        <v>4720.5590000000002</v>
      </c>
      <c r="G37" s="72">
        <v>5150.2049999999999</v>
      </c>
      <c r="H37" s="73">
        <v>1014.312</v>
      </c>
      <c r="I37" s="119">
        <f t="shared" si="10"/>
        <v>23776.314999999999</v>
      </c>
      <c r="J37" s="49">
        <v>2880054.1</v>
      </c>
      <c r="K37" s="74">
        <v>286953.02</v>
      </c>
      <c r="L37" s="74">
        <v>24723580.510000002</v>
      </c>
      <c r="M37" s="74">
        <v>10372420.960000001</v>
      </c>
      <c r="N37" s="74">
        <v>2723628.46</v>
      </c>
      <c r="O37" s="74">
        <v>9457818.9299999997</v>
      </c>
      <c r="P37" s="74">
        <v>1223076.6499999999</v>
      </c>
      <c r="Q37" s="67">
        <f t="shared" si="12"/>
        <v>38263008.590000004</v>
      </c>
      <c r="R37" s="67">
        <f>SUM(N37:P37)</f>
        <v>13404524.040000001</v>
      </c>
      <c r="S37" s="121">
        <f>(R37+Q37)*1.2-0.01</f>
        <v>62001039.146000005</v>
      </c>
      <c r="T37" s="58"/>
      <c r="V37" s="41"/>
      <c r="W37" s="42"/>
    </row>
    <row r="38" spans="1:23" ht="15.75" thickBot="1" x14ac:dyDescent="0.3">
      <c r="A38" s="114" t="s">
        <v>19</v>
      </c>
      <c r="B38" s="136">
        <v>2129.6529999999998</v>
      </c>
      <c r="C38" s="101">
        <v>168.749</v>
      </c>
      <c r="D38" s="101">
        <v>10019.364</v>
      </c>
      <c r="E38" s="101">
        <v>2109.34</v>
      </c>
      <c r="F38" s="101">
        <v>4819.07</v>
      </c>
      <c r="G38" s="101">
        <v>5717.0770000000002</v>
      </c>
      <c r="H38" s="130">
        <v>1115.5450000000001</v>
      </c>
      <c r="I38" s="131">
        <f>SUM(B38:H38)</f>
        <v>26078.798000000003</v>
      </c>
      <c r="J38" s="28">
        <v>3110123.94</v>
      </c>
      <c r="K38" s="103">
        <v>303743.14</v>
      </c>
      <c r="L38" s="103">
        <v>28060130.620000001</v>
      </c>
      <c r="M38" s="103">
        <v>11326185.5</v>
      </c>
      <c r="N38" s="103">
        <v>2782495.36</v>
      </c>
      <c r="O38" s="103">
        <v>10504104.220000001</v>
      </c>
      <c r="P38" s="103">
        <v>1453131.19</v>
      </c>
      <c r="Q38" s="67">
        <f t="shared" si="12"/>
        <v>42800183.200000003</v>
      </c>
      <c r="R38" s="67">
        <f>SUM(N38:P38)</f>
        <v>14739730.77</v>
      </c>
      <c r="S38" s="121">
        <f>(R38+Q38)*1.2</f>
        <v>69047896.763999999</v>
      </c>
      <c r="T38" s="58"/>
      <c r="V38" s="41"/>
      <c r="W38" s="42"/>
    </row>
    <row r="39" spans="1:23" ht="15.75" thickBot="1" x14ac:dyDescent="0.3">
      <c r="A39" s="106" t="s">
        <v>11</v>
      </c>
      <c r="B39" s="107">
        <f>SUM(B27:B38)</f>
        <v>22889.977000000003</v>
      </c>
      <c r="C39" s="107">
        <f t="shared" ref="C39:Q39" si="14">SUM(C27:C38)</f>
        <v>1974.3789999999999</v>
      </c>
      <c r="D39" s="107">
        <f t="shared" si="14"/>
        <v>104959.90700000002</v>
      </c>
      <c r="E39" s="107">
        <f t="shared" si="14"/>
        <v>22906.694</v>
      </c>
      <c r="F39" s="107">
        <f t="shared" si="14"/>
        <v>56320.446000000004</v>
      </c>
      <c r="G39" s="107">
        <f>SUM(G27:G38)</f>
        <v>59163.404999999992</v>
      </c>
      <c r="H39" s="116">
        <f>SUM(H27:H38)</f>
        <v>11720.136999999999</v>
      </c>
      <c r="I39" s="83">
        <f t="shared" si="14"/>
        <v>279934.94500000001</v>
      </c>
      <c r="J39" s="142">
        <f>SUM(J27:J38)</f>
        <v>30253259.77</v>
      </c>
      <c r="K39" s="109">
        <f t="shared" si="14"/>
        <v>3078618.7100000004</v>
      </c>
      <c r="L39" s="109">
        <f t="shared" si="14"/>
        <v>289526658.70999998</v>
      </c>
      <c r="M39" s="109">
        <f t="shared" si="14"/>
        <v>122998409.68000001</v>
      </c>
      <c r="N39" s="109">
        <f t="shared" si="14"/>
        <v>39718295.090000004</v>
      </c>
      <c r="O39" s="109">
        <f t="shared" si="14"/>
        <v>113396489.84</v>
      </c>
      <c r="P39" s="109">
        <f t="shared" si="14"/>
        <v>14850262.359999999</v>
      </c>
      <c r="Q39" s="109">
        <f t="shared" si="14"/>
        <v>445856946.86999995</v>
      </c>
      <c r="R39" s="109">
        <f t="shared" ref="R39" si="15">SUM(R27:R38)</f>
        <v>167965047.28999999</v>
      </c>
      <c r="S39" s="123">
        <f>SUM(S27:S38)</f>
        <v>736586392.98799992</v>
      </c>
      <c r="T39" s="59"/>
      <c r="V39" s="40"/>
      <c r="W39" s="42"/>
    </row>
    <row r="40" spans="1:23" x14ac:dyDescent="0.25">
      <c r="A40" s="7"/>
      <c r="B40" s="8"/>
      <c r="C40" s="8"/>
      <c r="D40" s="8"/>
      <c r="E40" s="8"/>
      <c r="F40" s="8"/>
      <c r="G40" s="8"/>
      <c r="H40" s="8"/>
      <c r="I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3"/>
      <c r="W40" s="3"/>
    </row>
    <row r="41" spans="1:23" x14ac:dyDescent="0.25">
      <c r="A41" s="7"/>
      <c r="B41" s="8"/>
      <c r="C41" s="8"/>
      <c r="D41" s="8"/>
      <c r="E41" s="8" t="s">
        <v>76</v>
      </c>
      <c r="F41" s="8"/>
      <c r="G41" s="8"/>
      <c r="H41" s="8"/>
      <c r="I41" s="8"/>
      <c r="J41" s="6"/>
      <c r="K41" s="6"/>
      <c r="L41" s="6"/>
      <c r="M41" s="338">
        <f>O19+S39+'РСК сбыт'!O17+ПрофСервисТрейд!O17+ПрофСервисТрейд!H34+Главэнергосбыт!H17+Мосэнергосбыт!O17+КрасКом!O17+МагнитЭнерго!H17+Промэнергосбыт!H17</f>
        <v>1191513627.678</v>
      </c>
      <c r="N41" s="338"/>
      <c r="O41" s="6" t="s">
        <v>73</v>
      </c>
      <c r="P41" s="6"/>
      <c r="Q41" s="6"/>
      <c r="R41" s="6"/>
      <c r="S41" s="6"/>
      <c r="T41" s="3"/>
      <c r="W41" s="3"/>
    </row>
    <row r="42" spans="1:23" x14ac:dyDescent="0.25">
      <c r="A42" s="7"/>
      <c r="B42" s="8"/>
      <c r="C42" s="8"/>
      <c r="D42" s="8"/>
      <c r="E42" s="8" t="s">
        <v>74</v>
      </c>
      <c r="F42" s="8"/>
      <c r="G42" s="8"/>
      <c r="H42" s="8"/>
      <c r="I42" s="8"/>
      <c r="J42" s="6"/>
      <c r="K42" s="6"/>
      <c r="L42" s="6"/>
      <c r="M42" s="338">
        <f>Потери!J19+'ТСО Красноярск'!J18+'ТСО Красноярск'!Q18</f>
        <v>841306383.21000004</v>
      </c>
      <c r="N42" s="338"/>
      <c r="O42" s="6" t="s">
        <v>73</v>
      </c>
      <c r="P42" s="6"/>
      <c r="Q42" s="6"/>
      <c r="R42" s="6"/>
      <c r="S42" s="6"/>
      <c r="T42" s="3"/>
      <c r="W42" s="3"/>
    </row>
    <row r="43" spans="1:23" x14ac:dyDescent="0.25">
      <c r="E43" s="2" t="s">
        <v>90</v>
      </c>
      <c r="F43" s="2"/>
      <c r="G43" s="2"/>
      <c r="H43" s="2"/>
      <c r="I43" s="2"/>
      <c r="J43" s="2"/>
      <c r="L43" s="302"/>
      <c r="M43" s="353">
        <f>M41-M42</f>
        <v>350207244.46799994</v>
      </c>
      <c r="N43" s="353"/>
      <c r="O43" s="2" t="s">
        <v>73</v>
      </c>
      <c r="T43" s="9"/>
      <c r="V43" s="32"/>
    </row>
    <row r="44" spans="1:23" x14ac:dyDescent="0.25">
      <c r="E44" s="2"/>
      <c r="F44" s="2"/>
      <c r="G44" s="2"/>
      <c r="H44" s="2"/>
      <c r="I44" s="2"/>
      <c r="J44" s="2"/>
      <c r="K44" s="2"/>
      <c r="L44" s="2"/>
      <c r="M44" s="2"/>
      <c r="N44" s="39"/>
      <c r="O44" s="2"/>
      <c r="T44" s="9"/>
    </row>
    <row r="46" spans="1:23" x14ac:dyDescent="0.25">
      <c r="A46" s="11"/>
      <c r="F46" s="2" t="s">
        <v>47</v>
      </c>
      <c r="G46" s="2"/>
      <c r="H46" s="2"/>
      <c r="I46" s="2"/>
      <c r="J46" s="2"/>
      <c r="K46" s="10"/>
      <c r="L46" s="10"/>
      <c r="M46" s="10"/>
      <c r="N46" s="345" t="s">
        <v>0</v>
      </c>
      <c r="O46" s="345"/>
    </row>
    <row r="47" spans="1:23" x14ac:dyDescent="0.25">
      <c r="A47" s="11"/>
    </row>
  </sheetData>
  <mergeCells count="20">
    <mergeCell ref="N46:O46"/>
    <mergeCell ref="A24:A25"/>
    <mergeCell ref="A4:A5"/>
    <mergeCell ref="B4:O4"/>
    <mergeCell ref="N5:N6"/>
    <mergeCell ref="O5:O6"/>
    <mergeCell ref="M43:N43"/>
    <mergeCell ref="A1:S1"/>
    <mergeCell ref="A2:S2"/>
    <mergeCell ref="B5:D5"/>
    <mergeCell ref="M41:N41"/>
    <mergeCell ref="M42:N42"/>
    <mergeCell ref="E5:G5"/>
    <mergeCell ref="H5:J5"/>
    <mergeCell ref="K5:M5"/>
    <mergeCell ref="A21:S21"/>
    <mergeCell ref="A22:S22"/>
    <mergeCell ref="B25:I25"/>
    <mergeCell ref="B24:S24"/>
    <mergeCell ref="J25:S25"/>
  </mergeCells>
  <pageMargins left="0" right="0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9.42578125" style="1" customWidth="1"/>
    <col min="2" max="10" width="13.140625" style="1" customWidth="1"/>
    <col min="11" max="16384" width="9.140625" style="1"/>
  </cols>
  <sheetData>
    <row r="1" spans="1:14" x14ac:dyDescent="0.25">
      <c r="A1" s="333" t="s">
        <v>51</v>
      </c>
      <c r="B1" s="333"/>
      <c r="C1" s="333"/>
      <c r="D1" s="333"/>
      <c r="E1" s="333"/>
      <c r="F1" s="333"/>
      <c r="G1" s="333"/>
      <c r="H1" s="333"/>
      <c r="I1" s="333"/>
      <c r="J1" s="333"/>
      <c r="K1" s="4"/>
      <c r="L1" s="4"/>
      <c r="M1" s="4"/>
      <c r="N1" s="4"/>
    </row>
    <row r="2" spans="1:14" x14ac:dyDescent="0.25">
      <c r="A2" s="334" t="s">
        <v>91</v>
      </c>
      <c r="B2" s="334"/>
      <c r="C2" s="334"/>
      <c r="D2" s="334"/>
      <c r="E2" s="334"/>
      <c r="F2" s="334"/>
      <c r="G2" s="334"/>
      <c r="H2" s="334"/>
      <c r="I2" s="334"/>
      <c r="J2" s="334"/>
      <c r="K2" s="12"/>
      <c r="L2" s="12"/>
      <c r="M2" s="12"/>
      <c r="N2" s="2"/>
    </row>
    <row r="3" spans="1:14" ht="15.75" thickBot="1" x14ac:dyDescent="0.3"/>
    <row r="4" spans="1:14" ht="15.75" customHeight="1" thickBot="1" x14ac:dyDescent="0.3">
      <c r="A4" s="354" t="s">
        <v>82</v>
      </c>
      <c r="B4" s="335" t="s">
        <v>100</v>
      </c>
      <c r="C4" s="336"/>
      <c r="D4" s="336"/>
      <c r="E4" s="336"/>
      <c r="F4" s="336"/>
      <c r="G4" s="336"/>
      <c r="H4" s="336"/>
      <c r="I4" s="336"/>
      <c r="J4" s="337"/>
    </row>
    <row r="5" spans="1:14" ht="15.75" thickBot="1" x14ac:dyDescent="0.3">
      <c r="A5" s="355"/>
      <c r="B5" s="357" t="s">
        <v>9</v>
      </c>
      <c r="C5" s="358"/>
      <c r="D5" s="358"/>
      <c r="E5" s="359"/>
      <c r="F5" s="335" t="s">
        <v>10</v>
      </c>
      <c r="G5" s="336"/>
      <c r="H5" s="336"/>
      <c r="I5" s="336"/>
      <c r="J5" s="337"/>
    </row>
    <row r="6" spans="1:14" ht="26.25" thickBot="1" x14ac:dyDescent="0.3">
      <c r="A6" s="356"/>
      <c r="B6" s="181" t="s">
        <v>1</v>
      </c>
      <c r="C6" s="182" t="s">
        <v>40</v>
      </c>
      <c r="D6" s="192" t="s">
        <v>2</v>
      </c>
      <c r="E6" s="151" t="s">
        <v>11</v>
      </c>
      <c r="F6" s="184" t="s">
        <v>1</v>
      </c>
      <c r="G6" s="126" t="s">
        <v>40</v>
      </c>
      <c r="H6" s="126" t="s">
        <v>2</v>
      </c>
      <c r="I6" s="150" t="s">
        <v>53</v>
      </c>
      <c r="J6" s="151" t="s">
        <v>54</v>
      </c>
    </row>
    <row r="7" spans="1:14" s="5" customFormat="1" x14ac:dyDescent="0.25">
      <c r="A7" s="173" t="s">
        <v>36</v>
      </c>
      <c r="B7" s="162">
        <v>399.50700000000001</v>
      </c>
      <c r="C7" s="175">
        <v>7.3680000000000003</v>
      </c>
      <c r="D7" s="163">
        <v>167.505</v>
      </c>
      <c r="E7" s="193">
        <f>SUM(B7:D7)</f>
        <v>574.38</v>
      </c>
      <c r="F7" s="190">
        <v>1060607.1200000001</v>
      </c>
      <c r="G7" s="185">
        <v>19560.52</v>
      </c>
      <c r="H7" s="191">
        <v>435582.74</v>
      </c>
      <c r="I7" s="195">
        <f>SUM(F7:H7)</f>
        <v>1515750.3800000001</v>
      </c>
      <c r="J7" s="196">
        <f>ROUND(I7*1.2,2)+0.01</f>
        <v>1818900.47</v>
      </c>
      <c r="M7" s="313"/>
    </row>
    <row r="8" spans="1:14" s="5" customFormat="1" x14ac:dyDescent="0.25">
      <c r="A8" s="138" t="s">
        <v>21</v>
      </c>
      <c r="B8" s="165">
        <v>244.32</v>
      </c>
      <c r="C8" s="99">
        <v>4.5759999999999996</v>
      </c>
      <c r="D8" s="166">
        <v>110.48</v>
      </c>
      <c r="E8" s="193">
        <f t="shared" ref="E8:E18" si="0">SUM(B8:D8)</f>
        <v>359.37599999999998</v>
      </c>
      <c r="F8" s="167">
        <v>681468.71</v>
      </c>
      <c r="G8" s="168">
        <v>12763.58</v>
      </c>
      <c r="H8" s="100">
        <v>303827.58</v>
      </c>
      <c r="I8" s="75">
        <f>SUM(F8:H8)</f>
        <v>998059.86999999988</v>
      </c>
      <c r="J8" s="154">
        <f>ROUND(I8*1.2,2)-0.01</f>
        <v>1197671.83</v>
      </c>
    </row>
    <row r="9" spans="1:14" s="5" customFormat="1" x14ac:dyDescent="0.25">
      <c r="A9" s="138" t="s">
        <v>22</v>
      </c>
      <c r="B9" s="71">
        <v>0</v>
      </c>
      <c r="C9" s="72">
        <v>0</v>
      </c>
      <c r="D9" s="169">
        <v>32.756999999999998</v>
      </c>
      <c r="E9" s="193">
        <f t="shared" si="0"/>
        <v>32.756999999999998</v>
      </c>
      <c r="F9" s="49">
        <v>0</v>
      </c>
      <c r="G9" s="160">
        <v>0</v>
      </c>
      <c r="H9" s="74">
        <v>87199.13</v>
      </c>
      <c r="I9" s="75">
        <f t="shared" ref="I9:I18" si="1">SUM(F9:H9)</f>
        <v>87199.13</v>
      </c>
      <c r="J9" s="154">
        <f t="shared" ref="J9:J14" si="2">ROUND(I9*1.2,2)</f>
        <v>104638.96</v>
      </c>
    </row>
    <row r="10" spans="1:14" s="5" customFormat="1" x14ac:dyDescent="0.25">
      <c r="A10" s="138" t="s">
        <v>23</v>
      </c>
      <c r="B10" s="71">
        <v>26.562999999999999</v>
      </c>
      <c r="C10" s="72">
        <v>0.498</v>
      </c>
      <c r="D10" s="169">
        <v>35.506</v>
      </c>
      <c r="E10" s="193">
        <f t="shared" si="0"/>
        <v>62.567</v>
      </c>
      <c r="F10" s="49">
        <v>67473.210000000006</v>
      </c>
      <c r="G10" s="160">
        <v>1264.98</v>
      </c>
      <c r="H10" s="74">
        <v>93363.26</v>
      </c>
      <c r="I10" s="75">
        <f t="shared" si="1"/>
        <v>162101.45000000001</v>
      </c>
      <c r="J10" s="154">
        <f>ROUND(I10*1.2,2)+0.01</f>
        <v>194521.75</v>
      </c>
    </row>
    <row r="11" spans="1:14" s="5" customFormat="1" x14ac:dyDescent="0.25">
      <c r="A11" s="138" t="s">
        <v>24</v>
      </c>
      <c r="B11" s="71">
        <v>135.30099999999999</v>
      </c>
      <c r="C11" s="72">
        <v>2.7080000000000002</v>
      </c>
      <c r="D11" s="169">
        <v>66.808999999999997</v>
      </c>
      <c r="E11" s="193">
        <f t="shared" si="0"/>
        <v>204.81799999999998</v>
      </c>
      <c r="F11" s="49">
        <v>317178.92</v>
      </c>
      <c r="G11" s="160">
        <v>6348.21</v>
      </c>
      <c r="H11" s="74">
        <v>161559.79999999999</v>
      </c>
      <c r="I11" s="75">
        <f t="shared" si="1"/>
        <v>485086.93</v>
      </c>
      <c r="J11" s="154">
        <f t="shared" si="2"/>
        <v>582104.31999999995</v>
      </c>
    </row>
    <row r="12" spans="1:14" s="5" customFormat="1" x14ac:dyDescent="0.25">
      <c r="A12" s="138" t="s">
        <v>25</v>
      </c>
      <c r="B12" s="71">
        <v>0</v>
      </c>
      <c r="C12" s="72">
        <v>0</v>
      </c>
      <c r="D12" s="169">
        <v>23.44</v>
      </c>
      <c r="E12" s="193">
        <f t="shared" si="0"/>
        <v>23.44</v>
      </c>
      <c r="F12" s="49">
        <v>0</v>
      </c>
      <c r="G12" s="160">
        <v>0</v>
      </c>
      <c r="H12" s="74">
        <v>60170.48</v>
      </c>
      <c r="I12" s="75">
        <f t="shared" si="1"/>
        <v>60170.48</v>
      </c>
      <c r="J12" s="154">
        <f t="shared" si="2"/>
        <v>72204.58</v>
      </c>
    </row>
    <row r="13" spans="1:14" s="5" customFormat="1" x14ac:dyDescent="0.25">
      <c r="A13" s="138" t="s">
        <v>26</v>
      </c>
      <c r="B13" s="71">
        <v>166.839</v>
      </c>
      <c r="C13" s="72">
        <v>12.147</v>
      </c>
      <c r="D13" s="169">
        <v>276.76600000000002</v>
      </c>
      <c r="E13" s="193">
        <f t="shared" si="0"/>
        <v>455.75200000000001</v>
      </c>
      <c r="F13" s="49">
        <v>443396.02</v>
      </c>
      <c r="G13" s="160">
        <v>32705.17</v>
      </c>
      <c r="H13" s="74">
        <v>732408.76</v>
      </c>
      <c r="I13" s="75">
        <f t="shared" si="1"/>
        <v>1208509.95</v>
      </c>
      <c r="J13" s="154">
        <f>ROUND(I13*1.2,2)+0.01</f>
        <v>1450211.95</v>
      </c>
    </row>
    <row r="14" spans="1:14" x14ac:dyDescent="0.25">
      <c r="A14" s="113" t="s">
        <v>27</v>
      </c>
      <c r="B14" s="71">
        <v>8.1630000000000003</v>
      </c>
      <c r="C14" s="72">
        <v>0.16600000000000001</v>
      </c>
      <c r="D14" s="169">
        <v>28.984000000000002</v>
      </c>
      <c r="E14" s="193">
        <f t="shared" si="0"/>
        <v>37.313000000000002</v>
      </c>
      <c r="F14" s="49">
        <v>20568.560000000001</v>
      </c>
      <c r="G14" s="160">
        <v>418.28</v>
      </c>
      <c r="H14" s="100">
        <v>72134.5</v>
      </c>
      <c r="I14" s="75">
        <f t="shared" si="1"/>
        <v>93121.34</v>
      </c>
      <c r="J14" s="154">
        <f t="shared" si="2"/>
        <v>111745.61</v>
      </c>
    </row>
    <row r="15" spans="1:14" x14ac:dyDescent="0.25">
      <c r="A15" s="113" t="s">
        <v>28</v>
      </c>
      <c r="B15" s="71">
        <v>16.779</v>
      </c>
      <c r="C15" s="72">
        <v>0.316</v>
      </c>
      <c r="D15" s="169">
        <v>26.277999999999999</v>
      </c>
      <c r="E15" s="193">
        <f t="shared" si="0"/>
        <v>43.372999999999998</v>
      </c>
      <c r="F15" s="49">
        <v>49224.38</v>
      </c>
      <c r="G15" s="160">
        <v>927.05</v>
      </c>
      <c r="H15" s="100">
        <v>69416.479999999996</v>
      </c>
      <c r="I15" s="75">
        <f t="shared" si="1"/>
        <v>119567.91</v>
      </c>
      <c r="J15" s="154">
        <f>ROUND(I15*1.2,2)+0.01</f>
        <v>143481.5</v>
      </c>
    </row>
    <row r="16" spans="1:14" x14ac:dyDescent="0.25">
      <c r="A16" s="138" t="s">
        <v>29</v>
      </c>
      <c r="B16" s="71">
        <v>506.18599999999998</v>
      </c>
      <c r="C16" s="72">
        <v>8.59</v>
      </c>
      <c r="D16" s="169">
        <v>155.70599999999999</v>
      </c>
      <c r="E16" s="193">
        <f t="shared" si="0"/>
        <v>670.48199999999997</v>
      </c>
      <c r="F16" s="49">
        <v>1514625.74</v>
      </c>
      <c r="G16" s="160">
        <v>25703.33</v>
      </c>
      <c r="H16" s="100">
        <v>454285.87</v>
      </c>
      <c r="I16" s="75">
        <f t="shared" si="1"/>
        <v>1994614.94</v>
      </c>
      <c r="J16" s="154">
        <f>ROUND(I16*1.2,2)-0.02</f>
        <v>2393537.91</v>
      </c>
    </row>
    <row r="17" spans="1:10" x14ac:dyDescent="0.25">
      <c r="A17" s="113" t="s">
        <v>30</v>
      </c>
      <c r="B17" s="71">
        <v>420.64600000000002</v>
      </c>
      <c r="C17" s="72">
        <v>7.8460000000000001</v>
      </c>
      <c r="D17" s="169">
        <v>223.512</v>
      </c>
      <c r="E17" s="193">
        <f t="shared" si="0"/>
        <v>652.00400000000002</v>
      </c>
      <c r="F17" s="49">
        <v>1351233.76</v>
      </c>
      <c r="G17" s="160">
        <v>25203.67</v>
      </c>
      <c r="H17" s="74">
        <v>636033.65</v>
      </c>
      <c r="I17" s="75">
        <f t="shared" si="1"/>
        <v>2012471.08</v>
      </c>
      <c r="J17" s="154">
        <f>ROUND(I17*1.2,2)-0.01</f>
        <v>2414965.29</v>
      </c>
    </row>
    <row r="18" spans="1:10" ht="15.75" thickBot="1" x14ac:dyDescent="0.3">
      <c r="A18" s="114" t="s">
        <v>31</v>
      </c>
      <c r="B18" s="176">
        <v>737.50800000000004</v>
      </c>
      <c r="C18" s="102">
        <v>13.321999999999999</v>
      </c>
      <c r="D18" s="177">
        <v>175.578</v>
      </c>
      <c r="E18" s="194">
        <f t="shared" si="0"/>
        <v>926.40800000000002</v>
      </c>
      <c r="F18" s="80">
        <v>2364839.0699999998</v>
      </c>
      <c r="G18" s="172">
        <v>42717.27</v>
      </c>
      <c r="H18" s="81">
        <v>556300.87</v>
      </c>
      <c r="I18" s="75">
        <f t="shared" si="1"/>
        <v>2963857.21</v>
      </c>
      <c r="J18" s="154">
        <f>ROUND(I18*1.2,2)</f>
        <v>3556628.65</v>
      </c>
    </row>
    <row r="19" spans="1:10" ht="15.75" thickBot="1" x14ac:dyDescent="0.3">
      <c r="A19" s="174" t="s">
        <v>11</v>
      </c>
      <c r="B19" s="178">
        <f>SUM(B7:B18)</f>
        <v>2661.8119999999999</v>
      </c>
      <c r="C19" s="107">
        <f>SUM(C7:C18)</f>
        <v>57.537000000000006</v>
      </c>
      <c r="D19" s="179">
        <f>SUM(D7:D18)</f>
        <v>1323.3210000000001</v>
      </c>
      <c r="E19" s="83">
        <f>SUM(E7:E18)</f>
        <v>4042.6699999999996</v>
      </c>
      <c r="F19" s="84">
        <f t="shared" ref="F19:H19" si="3">SUM(F7:F18)</f>
        <v>7870615.4900000002</v>
      </c>
      <c r="G19" s="186">
        <f t="shared" si="3"/>
        <v>167612.06</v>
      </c>
      <c r="H19" s="108">
        <f t="shared" si="3"/>
        <v>3662283.12</v>
      </c>
      <c r="I19" s="85">
        <f>F19+H19+G19</f>
        <v>11700510.67</v>
      </c>
      <c r="J19" s="123">
        <f>SUM(J7:J18)</f>
        <v>14040612.82</v>
      </c>
    </row>
    <row r="20" spans="1:10" x14ac:dyDescent="0.25">
      <c r="A20" s="9"/>
      <c r="B20" s="8"/>
      <c r="C20" s="8"/>
      <c r="D20" s="8"/>
      <c r="E20" s="8"/>
      <c r="F20" s="8"/>
      <c r="G20" s="8"/>
      <c r="H20" s="13"/>
    </row>
    <row r="21" spans="1:10" x14ac:dyDescent="0.25">
      <c r="A21" s="9"/>
      <c r="B21" s="8"/>
      <c r="C21" s="8"/>
      <c r="D21" s="8"/>
      <c r="E21" s="8"/>
      <c r="F21" s="8"/>
      <c r="G21" s="8"/>
      <c r="H21" s="13"/>
    </row>
    <row r="24" spans="1:10" x14ac:dyDescent="0.25">
      <c r="B24" s="2" t="s">
        <v>47</v>
      </c>
      <c r="C24" s="2"/>
      <c r="D24" s="2"/>
      <c r="E24" s="2"/>
      <c r="F24" s="2"/>
      <c r="G24" s="14" t="s">
        <v>0</v>
      </c>
      <c r="I24" s="14"/>
    </row>
  </sheetData>
  <mergeCells count="6">
    <mergeCell ref="A4:A6"/>
    <mergeCell ref="B5:E5"/>
    <mergeCell ref="B4:J4"/>
    <mergeCell ref="F5:J5"/>
    <mergeCell ref="A1:J1"/>
    <mergeCell ref="A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X42"/>
  <sheetViews>
    <sheetView view="pageBreakPreview" zoomScale="80" zoomScaleNormal="80" zoomScaleSheetLayoutView="80" workbookViewId="0">
      <selection activeCell="A20" sqref="A20:CD20"/>
    </sheetView>
  </sheetViews>
  <sheetFormatPr defaultRowHeight="15" x14ac:dyDescent="0.25"/>
  <cols>
    <col min="1" max="1" width="9.28515625" style="1" bestFit="1" customWidth="1"/>
    <col min="2" max="2" width="12" style="1" bestFit="1" customWidth="1"/>
    <col min="3" max="4" width="10.7109375" style="1" customWidth="1"/>
    <col min="5" max="5" width="12" style="1" bestFit="1" customWidth="1"/>
    <col min="6" max="6" width="14.85546875" style="1" bestFit="1" customWidth="1"/>
    <col min="7" max="7" width="13.5703125" style="1" bestFit="1" customWidth="1"/>
    <col min="8" max="10" width="14.85546875" style="1" bestFit="1" customWidth="1"/>
    <col min="11" max="11" width="12" style="1" bestFit="1" customWidth="1"/>
    <col min="12" max="12" width="10.7109375" style="1" customWidth="1"/>
    <col min="13" max="13" width="12" style="1" bestFit="1" customWidth="1"/>
    <col min="14" max="14" width="13.5703125" style="1" bestFit="1" customWidth="1"/>
    <col min="15" max="15" width="10.7109375" style="1" customWidth="1"/>
    <col min="16" max="17" width="13.5703125" style="1" bestFit="1" customWidth="1"/>
    <col min="18" max="21" width="10.7109375" style="1" customWidth="1"/>
    <col min="22" max="24" width="12.42578125" style="1" bestFit="1" customWidth="1"/>
    <col min="25" max="42" width="10.7109375" style="1" customWidth="1"/>
    <col min="43" max="47" width="13.5703125" style="1" bestFit="1" customWidth="1"/>
    <col min="48" max="59" width="10.7109375" style="1" customWidth="1"/>
    <col min="60" max="66" width="9.140625" style="1"/>
    <col min="67" max="69" width="9.85546875" style="1" bestFit="1" customWidth="1"/>
    <col min="70" max="73" width="9.140625" style="1"/>
    <col min="74" max="78" width="9.85546875" style="1" bestFit="1" customWidth="1"/>
    <col min="79" max="80" width="9.140625" style="1"/>
    <col min="81" max="81" width="9.85546875" style="1" bestFit="1" customWidth="1"/>
    <col min="82" max="82" width="9.140625" style="1"/>
    <col min="83" max="83" width="9.85546875" style="1" bestFit="1" customWidth="1"/>
    <col min="84" max="87" width="9.140625" style="1"/>
    <col min="88" max="90" width="9.85546875" style="1" bestFit="1" customWidth="1"/>
    <col min="91" max="94" width="9.140625" style="1"/>
    <col min="95" max="97" width="9.85546875" style="1" bestFit="1" customWidth="1"/>
    <col min="98" max="101" width="9.140625" style="1"/>
    <col min="102" max="102" width="12" style="1" hidden="1" customWidth="1"/>
    <col min="103" max="16384" width="9.140625" style="1"/>
  </cols>
  <sheetData>
    <row r="1" spans="1:102" ht="19.5" x14ac:dyDescent="0.35">
      <c r="A1" s="382" t="s">
        <v>62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82"/>
      <c r="CA1" s="382"/>
      <c r="CB1" s="382"/>
      <c r="CC1" s="382"/>
      <c r="CD1" s="382"/>
      <c r="CE1" s="382"/>
      <c r="CF1" s="382"/>
      <c r="CG1" s="382"/>
      <c r="CH1" s="382"/>
      <c r="CI1" s="382"/>
      <c r="CJ1" s="382"/>
      <c r="CK1" s="382"/>
      <c r="CL1" s="382"/>
      <c r="CM1" s="382"/>
      <c r="CN1" s="382"/>
      <c r="CO1" s="382"/>
      <c r="CP1" s="382"/>
      <c r="CQ1" s="382"/>
      <c r="CR1" s="382"/>
      <c r="CS1" s="382"/>
      <c r="CT1" s="382"/>
      <c r="CU1" s="382"/>
      <c r="CV1" s="382"/>
      <c r="CW1" s="382"/>
    </row>
    <row r="2" spans="1:102" ht="15.75" thickBot="1" x14ac:dyDescent="0.3"/>
    <row r="3" spans="1:102" ht="26.25" customHeight="1" thickBot="1" x14ac:dyDescent="0.3">
      <c r="A3" s="354" t="s">
        <v>82</v>
      </c>
      <c r="B3" s="379" t="s">
        <v>65</v>
      </c>
      <c r="C3" s="380"/>
      <c r="D3" s="380"/>
      <c r="E3" s="380"/>
      <c r="F3" s="380"/>
      <c r="G3" s="380"/>
      <c r="H3" s="380"/>
      <c r="I3" s="380"/>
      <c r="J3" s="381"/>
      <c r="K3" s="379" t="s">
        <v>92</v>
      </c>
      <c r="L3" s="380"/>
      <c r="M3" s="380"/>
      <c r="N3" s="380"/>
      <c r="O3" s="380"/>
      <c r="P3" s="380"/>
      <c r="Q3" s="381"/>
      <c r="R3" s="335" t="s">
        <v>63</v>
      </c>
      <c r="S3" s="336"/>
      <c r="T3" s="336"/>
      <c r="U3" s="336"/>
      <c r="V3" s="336"/>
      <c r="W3" s="336"/>
      <c r="X3" s="337"/>
      <c r="Y3" s="335" t="s">
        <v>83</v>
      </c>
      <c r="Z3" s="336"/>
      <c r="AA3" s="336"/>
      <c r="AB3" s="336"/>
      <c r="AC3" s="336"/>
      <c r="AD3" s="336"/>
      <c r="AE3" s="337"/>
      <c r="AF3" s="335" t="s">
        <v>84</v>
      </c>
      <c r="AG3" s="336"/>
      <c r="AH3" s="336"/>
      <c r="AI3" s="336"/>
      <c r="AJ3" s="336"/>
      <c r="AK3" s="336"/>
      <c r="AL3" s="337"/>
      <c r="AM3" s="335" t="s">
        <v>78</v>
      </c>
      <c r="AN3" s="336"/>
      <c r="AO3" s="336"/>
      <c r="AP3" s="336"/>
      <c r="AQ3" s="336"/>
      <c r="AR3" s="336"/>
      <c r="AS3" s="337"/>
      <c r="AT3" s="335" t="s">
        <v>79</v>
      </c>
      <c r="AU3" s="336"/>
      <c r="AV3" s="336"/>
      <c r="AW3" s="336"/>
      <c r="AX3" s="336"/>
      <c r="AY3" s="336"/>
      <c r="AZ3" s="337"/>
      <c r="BA3" s="335" t="s">
        <v>66</v>
      </c>
      <c r="BB3" s="336"/>
      <c r="BC3" s="336"/>
      <c r="BD3" s="336"/>
      <c r="BE3" s="336"/>
      <c r="BF3" s="336"/>
      <c r="BG3" s="337"/>
      <c r="BH3" s="335" t="s">
        <v>85</v>
      </c>
      <c r="BI3" s="336"/>
      <c r="BJ3" s="336"/>
      <c r="BK3" s="336"/>
      <c r="BL3" s="336"/>
      <c r="BM3" s="336"/>
      <c r="BN3" s="337"/>
      <c r="BO3" s="335" t="s">
        <v>86</v>
      </c>
      <c r="BP3" s="336"/>
      <c r="BQ3" s="336"/>
      <c r="BR3" s="336"/>
      <c r="BS3" s="336"/>
      <c r="BT3" s="336"/>
      <c r="BU3" s="337"/>
      <c r="BV3" s="335" t="s">
        <v>80</v>
      </c>
      <c r="BW3" s="336"/>
      <c r="BX3" s="336"/>
      <c r="BY3" s="336"/>
      <c r="BZ3" s="336"/>
      <c r="CA3" s="336"/>
      <c r="CB3" s="337"/>
      <c r="CC3" s="335" t="s">
        <v>93</v>
      </c>
      <c r="CD3" s="336"/>
      <c r="CE3" s="336"/>
      <c r="CF3" s="336"/>
      <c r="CG3" s="336"/>
      <c r="CH3" s="336"/>
      <c r="CI3" s="337"/>
      <c r="CJ3" s="335" t="s">
        <v>94</v>
      </c>
      <c r="CK3" s="336"/>
      <c r="CL3" s="336"/>
      <c r="CM3" s="336"/>
      <c r="CN3" s="336"/>
      <c r="CO3" s="336"/>
      <c r="CP3" s="337"/>
      <c r="CQ3" s="335" t="s">
        <v>95</v>
      </c>
      <c r="CR3" s="336"/>
      <c r="CS3" s="336"/>
      <c r="CT3" s="336"/>
      <c r="CU3" s="336"/>
      <c r="CV3" s="336"/>
      <c r="CW3" s="337"/>
    </row>
    <row r="4" spans="1:102" ht="41.25" customHeight="1" thickBot="1" x14ac:dyDescent="0.3">
      <c r="A4" s="355"/>
      <c r="B4" s="339" t="s">
        <v>20</v>
      </c>
      <c r="C4" s="336"/>
      <c r="D4" s="336"/>
      <c r="E4" s="341"/>
      <c r="F4" s="339" t="s">
        <v>8</v>
      </c>
      <c r="G4" s="336"/>
      <c r="H4" s="336"/>
      <c r="I4" s="336"/>
      <c r="J4" s="341"/>
      <c r="K4" s="339" t="s">
        <v>20</v>
      </c>
      <c r="L4" s="336"/>
      <c r="M4" s="341"/>
      <c r="N4" s="339" t="s">
        <v>8</v>
      </c>
      <c r="O4" s="336"/>
      <c r="P4" s="336"/>
      <c r="Q4" s="341"/>
      <c r="R4" s="339" t="s">
        <v>20</v>
      </c>
      <c r="S4" s="336"/>
      <c r="T4" s="341"/>
      <c r="U4" s="335" t="s">
        <v>8</v>
      </c>
      <c r="V4" s="336"/>
      <c r="W4" s="336"/>
      <c r="X4" s="337"/>
      <c r="Y4" s="339" t="s">
        <v>20</v>
      </c>
      <c r="Z4" s="336"/>
      <c r="AA4" s="341"/>
      <c r="AB4" s="339" t="s">
        <v>8</v>
      </c>
      <c r="AC4" s="336"/>
      <c r="AD4" s="336"/>
      <c r="AE4" s="341"/>
      <c r="AF4" s="339" t="s">
        <v>20</v>
      </c>
      <c r="AG4" s="336"/>
      <c r="AH4" s="341"/>
      <c r="AI4" s="339" t="s">
        <v>8</v>
      </c>
      <c r="AJ4" s="336"/>
      <c r="AK4" s="336"/>
      <c r="AL4" s="341"/>
      <c r="AM4" s="339" t="s">
        <v>20</v>
      </c>
      <c r="AN4" s="336"/>
      <c r="AO4" s="341"/>
      <c r="AP4" s="339" t="s">
        <v>8</v>
      </c>
      <c r="AQ4" s="336"/>
      <c r="AR4" s="336"/>
      <c r="AS4" s="341"/>
      <c r="AT4" s="339" t="s">
        <v>20</v>
      </c>
      <c r="AU4" s="336"/>
      <c r="AV4" s="341"/>
      <c r="AW4" s="339" t="s">
        <v>8</v>
      </c>
      <c r="AX4" s="336"/>
      <c r="AY4" s="336"/>
      <c r="AZ4" s="341"/>
      <c r="BA4" s="339" t="s">
        <v>20</v>
      </c>
      <c r="BB4" s="336"/>
      <c r="BC4" s="341"/>
      <c r="BD4" s="339" t="s">
        <v>8</v>
      </c>
      <c r="BE4" s="336"/>
      <c r="BF4" s="336"/>
      <c r="BG4" s="341"/>
      <c r="BH4" s="339" t="s">
        <v>20</v>
      </c>
      <c r="BI4" s="336"/>
      <c r="BJ4" s="341"/>
      <c r="BK4" s="339" t="s">
        <v>8</v>
      </c>
      <c r="BL4" s="336"/>
      <c r="BM4" s="336"/>
      <c r="BN4" s="341"/>
      <c r="BO4" s="339" t="s">
        <v>20</v>
      </c>
      <c r="BP4" s="336"/>
      <c r="BQ4" s="341"/>
      <c r="BR4" s="339" t="s">
        <v>8</v>
      </c>
      <c r="BS4" s="336"/>
      <c r="BT4" s="336"/>
      <c r="BU4" s="341"/>
      <c r="BV4" s="339" t="s">
        <v>20</v>
      </c>
      <c r="BW4" s="336"/>
      <c r="BX4" s="341"/>
      <c r="BY4" s="339" t="s">
        <v>8</v>
      </c>
      <c r="BZ4" s="336"/>
      <c r="CA4" s="336"/>
      <c r="CB4" s="341"/>
      <c r="CC4" s="339" t="s">
        <v>20</v>
      </c>
      <c r="CD4" s="336"/>
      <c r="CE4" s="341"/>
      <c r="CF4" s="339" t="s">
        <v>8</v>
      </c>
      <c r="CG4" s="336"/>
      <c r="CH4" s="336"/>
      <c r="CI4" s="341"/>
      <c r="CJ4" s="339" t="s">
        <v>20</v>
      </c>
      <c r="CK4" s="336"/>
      <c r="CL4" s="341"/>
      <c r="CM4" s="339" t="s">
        <v>8</v>
      </c>
      <c r="CN4" s="336"/>
      <c r="CO4" s="336"/>
      <c r="CP4" s="341"/>
      <c r="CQ4" s="339" t="s">
        <v>20</v>
      </c>
      <c r="CR4" s="336"/>
      <c r="CS4" s="341"/>
      <c r="CT4" s="339" t="s">
        <v>8</v>
      </c>
      <c r="CU4" s="336"/>
      <c r="CV4" s="336"/>
      <c r="CW4" s="341"/>
    </row>
    <row r="5" spans="1:102" ht="26.25" thickBot="1" x14ac:dyDescent="0.3">
      <c r="A5" s="376"/>
      <c r="B5" s="125" t="s">
        <v>1</v>
      </c>
      <c r="C5" s="126" t="s">
        <v>40</v>
      </c>
      <c r="D5" s="126" t="s">
        <v>2</v>
      </c>
      <c r="E5" s="56" t="s">
        <v>11</v>
      </c>
      <c r="F5" s="125" t="s">
        <v>1</v>
      </c>
      <c r="G5" s="126" t="s">
        <v>40</v>
      </c>
      <c r="H5" s="126" t="s">
        <v>2</v>
      </c>
      <c r="I5" s="323" t="s">
        <v>53</v>
      </c>
      <c r="J5" s="324" t="s">
        <v>54</v>
      </c>
      <c r="K5" s="125" t="s">
        <v>1</v>
      </c>
      <c r="L5" s="51" t="s">
        <v>2</v>
      </c>
      <c r="M5" s="56" t="s">
        <v>11</v>
      </c>
      <c r="N5" s="125" t="s">
        <v>1</v>
      </c>
      <c r="O5" s="126" t="s">
        <v>2</v>
      </c>
      <c r="P5" s="140" t="s">
        <v>53</v>
      </c>
      <c r="Q5" s="189" t="s">
        <v>54</v>
      </c>
      <c r="R5" s="125" t="s">
        <v>1</v>
      </c>
      <c r="S5" s="51" t="s">
        <v>2</v>
      </c>
      <c r="T5" s="56" t="s">
        <v>11</v>
      </c>
      <c r="U5" s="125" t="s">
        <v>1</v>
      </c>
      <c r="V5" s="126" t="s">
        <v>2</v>
      </c>
      <c r="W5" s="226" t="s">
        <v>53</v>
      </c>
      <c r="X5" s="227" t="s">
        <v>54</v>
      </c>
      <c r="Y5" s="125" t="s">
        <v>1</v>
      </c>
      <c r="Z5" s="51" t="s">
        <v>2</v>
      </c>
      <c r="AA5" s="56" t="s">
        <v>11</v>
      </c>
      <c r="AB5" s="125" t="s">
        <v>1</v>
      </c>
      <c r="AC5" s="126" t="s">
        <v>2</v>
      </c>
      <c r="AD5" s="226" t="s">
        <v>53</v>
      </c>
      <c r="AE5" s="227" t="s">
        <v>54</v>
      </c>
      <c r="AF5" s="125" t="s">
        <v>1</v>
      </c>
      <c r="AG5" s="51" t="s">
        <v>2</v>
      </c>
      <c r="AH5" s="56" t="s">
        <v>11</v>
      </c>
      <c r="AI5" s="125" t="s">
        <v>1</v>
      </c>
      <c r="AJ5" s="126" t="s">
        <v>2</v>
      </c>
      <c r="AK5" s="226" t="s">
        <v>53</v>
      </c>
      <c r="AL5" s="227" t="s">
        <v>54</v>
      </c>
      <c r="AM5" s="125" t="s">
        <v>40</v>
      </c>
      <c r="AN5" s="300" t="s">
        <v>2</v>
      </c>
      <c r="AO5" s="56" t="s">
        <v>11</v>
      </c>
      <c r="AP5" s="125" t="s">
        <v>40</v>
      </c>
      <c r="AQ5" s="126" t="s">
        <v>2</v>
      </c>
      <c r="AR5" s="301" t="s">
        <v>53</v>
      </c>
      <c r="AS5" s="227" t="s">
        <v>54</v>
      </c>
      <c r="AT5" s="125" t="s">
        <v>1</v>
      </c>
      <c r="AU5" s="300" t="s">
        <v>2</v>
      </c>
      <c r="AV5" s="56" t="s">
        <v>11</v>
      </c>
      <c r="AW5" s="125" t="s">
        <v>1</v>
      </c>
      <c r="AX5" s="126" t="s">
        <v>2</v>
      </c>
      <c r="AY5" s="301" t="s">
        <v>53</v>
      </c>
      <c r="AZ5" s="227" t="s">
        <v>54</v>
      </c>
      <c r="BA5" s="125" t="s">
        <v>1</v>
      </c>
      <c r="BB5" s="300" t="s">
        <v>2</v>
      </c>
      <c r="BC5" s="56" t="s">
        <v>11</v>
      </c>
      <c r="BD5" s="125" t="s">
        <v>1</v>
      </c>
      <c r="BE5" s="126" t="s">
        <v>2</v>
      </c>
      <c r="BF5" s="301" t="s">
        <v>53</v>
      </c>
      <c r="BG5" s="227" t="s">
        <v>54</v>
      </c>
      <c r="BH5" s="125" t="s">
        <v>1</v>
      </c>
      <c r="BI5" s="300" t="s">
        <v>2</v>
      </c>
      <c r="BJ5" s="56" t="s">
        <v>11</v>
      </c>
      <c r="BK5" s="125" t="s">
        <v>1</v>
      </c>
      <c r="BL5" s="126" t="s">
        <v>2</v>
      </c>
      <c r="BM5" s="301" t="s">
        <v>53</v>
      </c>
      <c r="BN5" s="227" t="s">
        <v>54</v>
      </c>
      <c r="BO5" s="125" t="s">
        <v>1</v>
      </c>
      <c r="BP5" s="303" t="s">
        <v>2</v>
      </c>
      <c r="BQ5" s="56" t="s">
        <v>11</v>
      </c>
      <c r="BR5" s="125" t="s">
        <v>1</v>
      </c>
      <c r="BS5" s="126" t="s">
        <v>2</v>
      </c>
      <c r="BT5" s="305" t="s">
        <v>53</v>
      </c>
      <c r="BU5" s="227" t="s">
        <v>54</v>
      </c>
      <c r="BV5" s="125" t="s">
        <v>1</v>
      </c>
      <c r="BW5" s="327" t="s">
        <v>40</v>
      </c>
      <c r="BX5" s="56" t="s">
        <v>11</v>
      </c>
      <c r="BY5" s="125" t="s">
        <v>1</v>
      </c>
      <c r="BZ5" s="126" t="s">
        <v>40</v>
      </c>
      <c r="CA5" s="329" t="s">
        <v>53</v>
      </c>
      <c r="CB5" s="227" t="s">
        <v>54</v>
      </c>
      <c r="CC5" s="125" t="s">
        <v>1</v>
      </c>
      <c r="CD5" s="327" t="s">
        <v>2</v>
      </c>
      <c r="CE5" s="56" t="s">
        <v>11</v>
      </c>
      <c r="CF5" s="125" t="s">
        <v>1</v>
      </c>
      <c r="CG5" s="126" t="s">
        <v>2</v>
      </c>
      <c r="CH5" s="329" t="s">
        <v>53</v>
      </c>
      <c r="CI5" s="227" t="s">
        <v>54</v>
      </c>
      <c r="CJ5" s="125" t="s">
        <v>1</v>
      </c>
      <c r="CK5" s="327" t="s">
        <v>2</v>
      </c>
      <c r="CL5" s="56" t="s">
        <v>11</v>
      </c>
      <c r="CM5" s="125" t="s">
        <v>1</v>
      </c>
      <c r="CN5" s="126" t="s">
        <v>2</v>
      </c>
      <c r="CO5" s="329" t="s">
        <v>53</v>
      </c>
      <c r="CP5" s="227" t="s">
        <v>54</v>
      </c>
      <c r="CQ5" s="125" t="s">
        <v>1</v>
      </c>
      <c r="CR5" s="327" t="s">
        <v>2</v>
      </c>
      <c r="CS5" s="56" t="s">
        <v>11</v>
      </c>
      <c r="CT5" s="125" t="s">
        <v>1</v>
      </c>
      <c r="CU5" s="126" t="s">
        <v>2</v>
      </c>
      <c r="CV5" s="329" t="s">
        <v>53</v>
      </c>
      <c r="CW5" s="227" t="s">
        <v>54</v>
      </c>
    </row>
    <row r="6" spans="1:102" ht="15" customHeight="1" x14ac:dyDescent="0.25">
      <c r="A6" s="121" t="s">
        <v>4</v>
      </c>
      <c r="B6" s="203">
        <v>20865.440999999999</v>
      </c>
      <c r="C6" s="204">
        <v>551.20000000000005</v>
      </c>
      <c r="D6" s="204">
        <v>9522.1959999999999</v>
      </c>
      <c r="E6" s="66">
        <f>SUM(B6:D6)</f>
        <v>30938.837</v>
      </c>
      <c r="F6" s="147">
        <v>45329753.259999998</v>
      </c>
      <c r="G6" s="70">
        <v>1197470.98</v>
      </c>
      <c r="H6" s="70">
        <v>20686780.370000001</v>
      </c>
      <c r="I6" s="70">
        <f>SUM(F6:H6)</f>
        <v>67214004.609999999</v>
      </c>
      <c r="J6" s="201">
        <f>ROUND(I6*1.2,2)</f>
        <v>80656805.530000001</v>
      </c>
      <c r="K6" s="206">
        <v>26009.305</v>
      </c>
      <c r="L6" s="216"/>
      <c r="M6" s="66">
        <f>SUM(K6:L6)</f>
        <v>26009.305</v>
      </c>
      <c r="N6" s="188">
        <v>6503137.1200000001</v>
      </c>
      <c r="O6" s="188"/>
      <c r="P6" s="188">
        <f>SUM(N6:O6)</f>
        <v>6503137.1200000001</v>
      </c>
      <c r="Q6" s="183">
        <f>ROUND(P6*1.2,2)</f>
        <v>7803764.54</v>
      </c>
      <c r="R6" s="206"/>
      <c r="S6" s="216">
        <v>112.461</v>
      </c>
      <c r="T6" s="66">
        <f>SUM(R6:S6)</f>
        <v>112.461</v>
      </c>
      <c r="U6" s="207"/>
      <c r="V6" s="188"/>
      <c r="W6" s="188"/>
      <c r="X6" s="183"/>
      <c r="Y6" s="206"/>
      <c r="Z6" s="216">
        <v>365.36399999999998</v>
      </c>
      <c r="AA6" s="66">
        <f>SUM(Y6:Z6)</f>
        <v>365.36399999999998</v>
      </c>
      <c r="AB6" s="207"/>
      <c r="AC6" s="188"/>
      <c r="AD6" s="188"/>
      <c r="AE6" s="183"/>
      <c r="AF6" s="206">
        <v>0</v>
      </c>
      <c r="AG6" s="216"/>
      <c r="AH6" s="66">
        <f>SUM(AF6:AG6)</f>
        <v>0</v>
      </c>
      <c r="AI6" s="207"/>
      <c r="AJ6" s="188"/>
      <c r="AK6" s="188"/>
      <c r="AL6" s="183"/>
      <c r="AM6" s="206">
        <v>72.885999999999996</v>
      </c>
      <c r="AN6" s="216">
        <v>58.072000000000003</v>
      </c>
      <c r="AO6" s="66">
        <f>SUM(AM6:AN6)</f>
        <v>130.958</v>
      </c>
      <c r="AP6" s="207"/>
      <c r="AQ6" s="188"/>
      <c r="AR6" s="188"/>
      <c r="AS6" s="183"/>
      <c r="AT6" s="206"/>
      <c r="AU6" s="216">
        <v>1.9910000000000001</v>
      </c>
      <c r="AV6" s="66">
        <f>SUM(AT6:AU6)</f>
        <v>1.9910000000000001</v>
      </c>
      <c r="AW6" s="207"/>
      <c r="AX6" s="188"/>
      <c r="AY6" s="188"/>
      <c r="AZ6" s="183"/>
      <c r="BA6" s="206"/>
      <c r="BB6" s="216">
        <v>111.261</v>
      </c>
      <c r="BC6" s="66">
        <f>SUM(BA6:BB6)</f>
        <v>111.261</v>
      </c>
      <c r="BD6" s="207"/>
      <c r="BE6" s="188"/>
      <c r="BF6" s="188"/>
      <c r="BG6" s="183"/>
      <c r="BH6" s="206"/>
      <c r="BI6" s="216">
        <v>11.686999999999999</v>
      </c>
      <c r="BJ6" s="66">
        <f>SUM(BH6:BI6)</f>
        <v>11.686999999999999</v>
      </c>
      <c r="BK6" s="207"/>
      <c r="BL6" s="188"/>
      <c r="BM6" s="188"/>
      <c r="BN6" s="183"/>
      <c r="BO6" s="206">
        <v>814.97299999999996</v>
      </c>
      <c r="BP6" s="216">
        <v>141.01499999999999</v>
      </c>
      <c r="BQ6" s="66">
        <f>SUM(BO6:BP6)</f>
        <v>955.98799999999994</v>
      </c>
      <c r="BR6" s="207"/>
      <c r="BS6" s="188"/>
      <c r="BT6" s="188"/>
      <c r="BU6" s="183"/>
      <c r="BV6" s="206"/>
      <c r="BW6" s="216">
        <v>186.696</v>
      </c>
      <c r="BX6" s="66">
        <f>SUM(BV6:BW6)</f>
        <v>186.696</v>
      </c>
      <c r="BY6" s="207"/>
      <c r="BZ6" s="188"/>
      <c r="CA6" s="188"/>
      <c r="CB6" s="183"/>
      <c r="CC6" s="206"/>
      <c r="CD6" s="216">
        <v>75.352999999999994</v>
      </c>
      <c r="CE6" s="66">
        <f>SUM(CC6:CD6)</f>
        <v>75.352999999999994</v>
      </c>
      <c r="CF6" s="207"/>
      <c r="CG6" s="188"/>
      <c r="CH6" s="188"/>
      <c r="CI6" s="183"/>
      <c r="CJ6" s="206"/>
      <c r="CK6" s="216">
        <v>150.69300000000001</v>
      </c>
      <c r="CL6" s="66">
        <f>SUM(CJ6:CK6)</f>
        <v>150.69300000000001</v>
      </c>
      <c r="CM6" s="207"/>
      <c r="CN6" s="188"/>
      <c r="CO6" s="188"/>
      <c r="CP6" s="183"/>
      <c r="CQ6" s="206"/>
      <c r="CR6" s="216">
        <v>169.74100000000001</v>
      </c>
      <c r="CS6" s="66">
        <f>SUM(CQ6:CR6)</f>
        <v>169.74100000000001</v>
      </c>
      <c r="CT6" s="207"/>
      <c r="CU6" s="188"/>
      <c r="CV6" s="188"/>
      <c r="CW6" s="183"/>
      <c r="CX6" s="40">
        <f>AH6+AA6+T6+M6+E6+BJ6+BC6+AV6+AO6+BQ6+BX6+CE6+CL6+CS6</f>
        <v>59220.335000000006</v>
      </c>
    </row>
    <row r="7" spans="1:102" ht="15.75" customHeight="1" x14ac:dyDescent="0.25">
      <c r="A7" s="121" t="s">
        <v>5</v>
      </c>
      <c r="B7" s="71">
        <v>19678.976999999999</v>
      </c>
      <c r="C7" s="72">
        <v>568.49599999999998</v>
      </c>
      <c r="D7" s="72">
        <v>8903.8430000000008</v>
      </c>
      <c r="E7" s="69">
        <f>SUM(B7:D7)</f>
        <v>29151.315999999999</v>
      </c>
      <c r="F7" s="27">
        <v>42752183.950000003</v>
      </c>
      <c r="G7" s="67">
        <v>1235046.19</v>
      </c>
      <c r="H7" s="67">
        <v>19343420.84</v>
      </c>
      <c r="I7" s="67">
        <f>SUM(F7:H7)</f>
        <v>63330650.980000004</v>
      </c>
      <c r="J7" s="92">
        <f>ROUND(I7*1.2,2)</f>
        <v>75996781.180000007</v>
      </c>
      <c r="K7" s="63">
        <v>24950.994999999999</v>
      </c>
      <c r="L7" s="217"/>
      <c r="M7" s="69">
        <f>SUM(K7:L7)</f>
        <v>24950.994999999999</v>
      </c>
      <c r="N7" s="104">
        <v>6860637.9199999999</v>
      </c>
      <c r="O7" s="104"/>
      <c r="P7" s="104">
        <f>SUM(N7:O7)</f>
        <v>6860637.9199999999</v>
      </c>
      <c r="Q7" s="183">
        <f t="shared" ref="Q7:Q17" si="0">ROUND(P7*1.2,2)</f>
        <v>8232765.5</v>
      </c>
      <c r="R7" s="63"/>
      <c r="S7" s="217">
        <v>0</v>
      </c>
      <c r="T7" s="69">
        <f>SUM(R7:S7)</f>
        <v>0</v>
      </c>
      <c r="U7" s="49"/>
      <c r="V7" s="104"/>
      <c r="W7" s="104"/>
      <c r="X7" s="183"/>
      <c r="Y7" s="63"/>
      <c r="Z7" s="217">
        <v>349.92</v>
      </c>
      <c r="AA7" s="69">
        <f>SUM(Y7:Z7)</f>
        <v>349.92</v>
      </c>
      <c r="AB7" s="49"/>
      <c r="AC7" s="104"/>
      <c r="AD7" s="104"/>
      <c r="AE7" s="183"/>
      <c r="AF7" s="63">
        <v>349.14800000000002</v>
      </c>
      <c r="AG7" s="217"/>
      <c r="AH7" s="69">
        <f>SUM(AF7:AG7)</f>
        <v>349.14800000000002</v>
      </c>
      <c r="AI7" s="49"/>
      <c r="AJ7" s="104"/>
      <c r="AK7" s="104"/>
      <c r="AL7" s="183"/>
      <c r="AM7" s="63">
        <v>66.203999999999994</v>
      </c>
      <c r="AN7" s="217">
        <v>63.453000000000003</v>
      </c>
      <c r="AO7" s="69">
        <f>SUM(AM7:AN7)</f>
        <v>129.65699999999998</v>
      </c>
      <c r="AP7" s="49"/>
      <c r="AQ7" s="104"/>
      <c r="AR7" s="104"/>
      <c r="AS7" s="183"/>
      <c r="AT7" s="63"/>
      <c r="AU7" s="217">
        <v>1.8520000000000001</v>
      </c>
      <c r="AV7" s="69">
        <f>SUM(AT7:AU7)</f>
        <v>1.8520000000000001</v>
      </c>
      <c r="AW7" s="49"/>
      <c r="AX7" s="104"/>
      <c r="AY7" s="104"/>
      <c r="AZ7" s="183"/>
      <c r="BA7" s="63"/>
      <c r="BB7" s="217">
        <v>97.483000000000004</v>
      </c>
      <c r="BC7" s="69">
        <f>SUM(BA7:BB7)</f>
        <v>97.483000000000004</v>
      </c>
      <c r="BD7" s="49"/>
      <c r="BE7" s="104"/>
      <c r="BF7" s="104"/>
      <c r="BG7" s="183"/>
      <c r="BH7" s="63"/>
      <c r="BI7" s="217">
        <v>12.436999999999999</v>
      </c>
      <c r="BJ7" s="69">
        <f>SUM(BH7:BI7)</f>
        <v>12.436999999999999</v>
      </c>
      <c r="BK7" s="49"/>
      <c r="BL7" s="104"/>
      <c r="BM7" s="104"/>
      <c r="BN7" s="183"/>
      <c r="BO7" s="63">
        <v>779.49400000000003</v>
      </c>
      <c r="BP7" s="217">
        <v>137.09</v>
      </c>
      <c r="BQ7" s="69">
        <f>SUM(BO7:BP7)</f>
        <v>916.58400000000006</v>
      </c>
      <c r="BR7" s="49"/>
      <c r="BS7" s="104"/>
      <c r="BT7" s="104"/>
      <c r="BU7" s="183"/>
      <c r="BV7" s="63"/>
      <c r="BW7" s="217">
        <v>153.52000000000001</v>
      </c>
      <c r="BX7" s="69">
        <f>SUM(BV7:BW7)</f>
        <v>153.52000000000001</v>
      </c>
      <c r="BY7" s="49"/>
      <c r="BZ7" s="104"/>
      <c r="CA7" s="104"/>
      <c r="CB7" s="183"/>
      <c r="CC7" s="63"/>
      <c r="CD7" s="217">
        <v>66.656000000000006</v>
      </c>
      <c r="CE7" s="69">
        <f>SUM(CC7:CD7)</f>
        <v>66.656000000000006</v>
      </c>
      <c r="CF7" s="49"/>
      <c r="CG7" s="104"/>
      <c r="CH7" s="104"/>
      <c r="CI7" s="183"/>
      <c r="CJ7" s="63"/>
      <c r="CK7" s="217">
        <v>136.1</v>
      </c>
      <c r="CL7" s="69">
        <f>SUM(CJ7:CK7)</f>
        <v>136.1</v>
      </c>
      <c r="CM7" s="49"/>
      <c r="CN7" s="104"/>
      <c r="CO7" s="104"/>
      <c r="CP7" s="183"/>
      <c r="CQ7" s="63"/>
      <c r="CR7" s="217">
        <v>148.85300000000001</v>
      </c>
      <c r="CS7" s="69">
        <f>SUM(CQ7:CR7)</f>
        <v>148.85300000000001</v>
      </c>
      <c r="CT7" s="49"/>
      <c r="CU7" s="104"/>
      <c r="CV7" s="104"/>
      <c r="CW7" s="183"/>
      <c r="CX7" s="40">
        <f t="shared" ref="CX7:CX17" si="1">AH7+AA7+T7+M7+E7+BJ7+BC7+AV7+AO7+BQ7+BX7+CE7+CL7+CS7</f>
        <v>56464.521000000001</v>
      </c>
    </row>
    <row r="8" spans="1:102" x14ac:dyDescent="0.25">
      <c r="A8" s="121" t="s">
        <v>6</v>
      </c>
      <c r="B8" s="71">
        <v>17279.296999999999</v>
      </c>
      <c r="C8" s="72">
        <v>512.69899999999996</v>
      </c>
      <c r="D8" s="72">
        <v>7202.4059999999999</v>
      </c>
      <c r="E8" s="69">
        <f t="shared" ref="E8:E16" si="2">SUM(B8:D8)</f>
        <v>24994.401999999998</v>
      </c>
      <c r="F8" s="27">
        <v>37538927.149999999</v>
      </c>
      <c r="G8" s="67">
        <v>1113828.32</v>
      </c>
      <c r="H8" s="67">
        <v>15647082.99</v>
      </c>
      <c r="I8" s="67">
        <f>SUM(F8:H8)</f>
        <v>54299838.460000001</v>
      </c>
      <c r="J8" s="92">
        <f>ROUND(I8*1.2,2)</f>
        <v>65159806.149999999</v>
      </c>
      <c r="K8" s="63">
        <v>23658.197</v>
      </c>
      <c r="L8" s="217"/>
      <c r="M8" s="69">
        <f t="shared" ref="M8:M17" si="3">SUM(K8:L8)</f>
        <v>23658.197</v>
      </c>
      <c r="N8" s="49">
        <v>6339599.96</v>
      </c>
      <c r="O8" s="74"/>
      <c r="P8" s="104">
        <f t="shared" ref="P8:P17" si="4">SUM(N8:O8)</f>
        <v>6339599.96</v>
      </c>
      <c r="Q8" s="183">
        <f t="shared" si="0"/>
        <v>7607519.9500000002</v>
      </c>
      <c r="R8" s="63"/>
      <c r="S8" s="217">
        <v>238.91</v>
      </c>
      <c r="T8" s="69">
        <f t="shared" ref="T8:T17" si="5">SUM(R8:S8)</f>
        <v>238.91</v>
      </c>
      <c r="U8" s="49"/>
      <c r="V8" s="74"/>
      <c r="W8" s="104"/>
      <c r="X8" s="183"/>
      <c r="Y8" s="63"/>
      <c r="Z8" s="217">
        <v>371.18400000000003</v>
      </c>
      <c r="AA8" s="69">
        <f t="shared" ref="AA8:AA17" si="6">SUM(Y8:Z8)</f>
        <v>371.18400000000003</v>
      </c>
      <c r="AB8" s="49"/>
      <c r="AC8" s="74"/>
      <c r="AD8" s="104"/>
      <c r="AE8" s="183"/>
      <c r="AF8" s="63">
        <v>421.17899999999997</v>
      </c>
      <c r="AG8" s="217"/>
      <c r="AH8" s="69">
        <f t="shared" ref="AH8:AH17" si="7">SUM(AF8:AG8)</f>
        <v>421.17899999999997</v>
      </c>
      <c r="AI8" s="49"/>
      <c r="AJ8" s="74"/>
      <c r="AK8" s="104"/>
      <c r="AL8" s="183"/>
      <c r="AM8" s="63">
        <v>65.95</v>
      </c>
      <c r="AN8" s="217">
        <v>56.786000000000001</v>
      </c>
      <c r="AO8" s="69">
        <f t="shared" ref="AO8:AO17" si="8">SUM(AM8:AN8)</f>
        <v>122.736</v>
      </c>
      <c r="AP8" s="49"/>
      <c r="AQ8" s="74"/>
      <c r="AR8" s="104"/>
      <c r="AS8" s="183"/>
      <c r="AT8" s="63"/>
      <c r="AU8" s="217">
        <v>1.6990000000000001</v>
      </c>
      <c r="AV8" s="69">
        <f t="shared" ref="AV8:AV17" si="9">SUM(AT8:AU8)</f>
        <v>1.6990000000000001</v>
      </c>
      <c r="AW8" s="49"/>
      <c r="AX8" s="74"/>
      <c r="AY8" s="104"/>
      <c r="AZ8" s="183"/>
      <c r="BA8" s="63"/>
      <c r="BB8" s="217">
        <v>93.040999999999997</v>
      </c>
      <c r="BC8" s="69">
        <f t="shared" ref="BC8:BC17" si="10">SUM(BA8:BB8)</f>
        <v>93.040999999999997</v>
      </c>
      <c r="BD8" s="49"/>
      <c r="BE8" s="74"/>
      <c r="BF8" s="104"/>
      <c r="BG8" s="183"/>
      <c r="BH8" s="63"/>
      <c r="BI8" s="217">
        <v>12.082000000000001</v>
      </c>
      <c r="BJ8" s="69">
        <f t="shared" ref="BJ8:BJ17" si="11">SUM(BH8:BI8)</f>
        <v>12.082000000000001</v>
      </c>
      <c r="BK8" s="49"/>
      <c r="BL8" s="74"/>
      <c r="BM8" s="104"/>
      <c r="BN8" s="183"/>
      <c r="BO8" s="63">
        <v>690.48900000000003</v>
      </c>
      <c r="BP8" s="217">
        <v>130.52799999999999</v>
      </c>
      <c r="BQ8" s="69">
        <f t="shared" ref="BQ8:BQ17" si="12">SUM(BO8:BP8)</f>
        <v>821.01700000000005</v>
      </c>
      <c r="BR8" s="49"/>
      <c r="BS8" s="74"/>
      <c r="BT8" s="104"/>
      <c r="BU8" s="183"/>
      <c r="BV8" s="63"/>
      <c r="BW8" s="217">
        <v>187.73</v>
      </c>
      <c r="BX8" s="69">
        <f t="shared" ref="BX8:BX17" si="13">SUM(BV8:BW8)</f>
        <v>187.73</v>
      </c>
      <c r="BY8" s="49"/>
      <c r="BZ8" s="74"/>
      <c r="CA8" s="104"/>
      <c r="CB8" s="183"/>
      <c r="CC8" s="63"/>
      <c r="CD8" s="217">
        <v>52.725999999999999</v>
      </c>
      <c r="CE8" s="69">
        <f t="shared" ref="CE8:CE17" si="14">SUM(CC8:CD8)</f>
        <v>52.725999999999999</v>
      </c>
      <c r="CF8" s="49"/>
      <c r="CG8" s="74"/>
      <c r="CH8" s="104"/>
      <c r="CI8" s="183"/>
      <c r="CJ8" s="63"/>
      <c r="CK8" s="217">
        <v>166.62299999999999</v>
      </c>
      <c r="CL8" s="69">
        <f t="shared" ref="CL8:CL17" si="15">SUM(CJ8:CK8)</f>
        <v>166.62299999999999</v>
      </c>
      <c r="CM8" s="49"/>
      <c r="CN8" s="74"/>
      <c r="CO8" s="104"/>
      <c r="CP8" s="183"/>
      <c r="CQ8" s="63"/>
      <c r="CR8" s="217">
        <v>147.441</v>
      </c>
      <c r="CS8" s="69">
        <f t="shared" ref="CS8:CS17" si="16">SUM(CQ8:CR8)</f>
        <v>147.441</v>
      </c>
      <c r="CT8" s="49"/>
      <c r="CU8" s="74"/>
      <c r="CV8" s="104"/>
      <c r="CW8" s="183"/>
      <c r="CX8" s="40">
        <f t="shared" si="1"/>
        <v>51288.967000000004</v>
      </c>
    </row>
    <row r="9" spans="1:102" x14ac:dyDescent="0.25">
      <c r="A9" s="121" t="s">
        <v>7</v>
      </c>
      <c r="B9" s="71">
        <v>15411.950999999999</v>
      </c>
      <c r="C9" s="72">
        <v>423.274</v>
      </c>
      <c r="D9" s="72">
        <v>8176.5969999999998</v>
      </c>
      <c r="E9" s="69">
        <f t="shared" si="2"/>
        <v>24011.822</v>
      </c>
      <c r="F9" s="27">
        <v>33482155.309999999</v>
      </c>
      <c r="G9" s="67">
        <v>919554.3</v>
      </c>
      <c r="H9" s="67">
        <v>17763493.449999999</v>
      </c>
      <c r="I9" s="67">
        <f>SUM(F9:H9)</f>
        <v>52165203.060000002</v>
      </c>
      <c r="J9" s="92">
        <f>ROUND(I9*1.2,2)</f>
        <v>62598243.670000002</v>
      </c>
      <c r="K9" s="63">
        <v>21477.403999999999</v>
      </c>
      <c r="L9" s="217"/>
      <c r="M9" s="69">
        <f t="shared" si="3"/>
        <v>21477.403999999999</v>
      </c>
      <c r="N9" s="49">
        <v>6571187.6299999999</v>
      </c>
      <c r="O9" s="74"/>
      <c r="P9" s="104">
        <f t="shared" si="4"/>
        <v>6571187.6299999999</v>
      </c>
      <c r="Q9" s="183">
        <f t="shared" si="0"/>
        <v>7885425.1600000001</v>
      </c>
      <c r="R9" s="63"/>
      <c r="S9" s="217">
        <v>250.566</v>
      </c>
      <c r="T9" s="69">
        <f t="shared" si="5"/>
        <v>250.566</v>
      </c>
      <c r="U9" s="49"/>
      <c r="V9" s="74"/>
      <c r="W9" s="104"/>
      <c r="X9" s="183"/>
      <c r="Y9" s="63"/>
      <c r="Z9" s="217">
        <v>355.99200000000002</v>
      </c>
      <c r="AA9" s="69">
        <f t="shared" si="6"/>
        <v>355.99200000000002</v>
      </c>
      <c r="AB9" s="49"/>
      <c r="AC9" s="74"/>
      <c r="AD9" s="104"/>
      <c r="AE9" s="183"/>
      <c r="AF9" s="63">
        <v>391.154</v>
      </c>
      <c r="AG9" s="217"/>
      <c r="AH9" s="69">
        <f t="shared" si="7"/>
        <v>391.154</v>
      </c>
      <c r="AI9" s="49"/>
      <c r="AJ9" s="74"/>
      <c r="AK9" s="104"/>
      <c r="AL9" s="183"/>
      <c r="AM9" s="63">
        <v>52.923000000000002</v>
      </c>
      <c r="AN9" s="217">
        <v>53.838000000000001</v>
      </c>
      <c r="AO9" s="69">
        <f t="shared" si="8"/>
        <v>106.761</v>
      </c>
      <c r="AP9" s="49"/>
      <c r="AQ9" s="74"/>
      <c r="AR9" s="104"/>
      <c r="AS9" s="183"/>
      <c r="AT9" s="63"/>
      <c r="AU9" s="217">
        <v>1.3009999999999999</v>
      </c>
      <c r="AV9" s="69">
        <f t="shared" si="9"/>
        <v>1.3009999999999999</v>
      </c>
      <c r="AW9" s="49"/>
      <c r="AX9" s="74"/>
      <c r="AY9" s="104"/>
      <c r="AZ9" s="183"/>
      <c r="BA9" s="63"/>
      <c r="BB9" s="217">
        <v>95.733000000000004</v>
      </c>
      <c r="BC9" s="69">
        <f t="shared" si="10"/>
        <v>95.733000000000004</v>
      </c>
      <c r="BD9" s="49"/>
      <c r="BE9" s="74"/>
      <c r="BF9" s="104"/>
      <c r="BG9" s="183"/>
      <c r="BH9" s="63"/>
      <c r="BI9" s="217">
        <v>11.63</v>
      </c>
      <c r="BJ9" s="69">
        <f t="shared" si="11"/>
        <v>11.63</v>
      </c>
      <c r="BK9" s="49"/>
      <c r="BL9" s="74"/>
      <c r="BM9" s="104"/>
      <c r="BN9" s="183"/>
      <c r="BO9" s="63">
        <v>625.976</v>
      </c>
      <c r="BP9" s="217">
        <v>120.88200000000001</v>
      </c>
      <c r="BQ9" s="69">
        <f t="shared" si="12"/>
        <v>746.85799999999995</v>
      </c>
      <c r="BR9" s="49"/>
      <c r="BS9" s="74"/>
      <c r="BT9" s="104"/>
      <c r="BU9" s="183"/>
      <c r="BV9" s="63"/>
      <c r="BW9" s="217">
        <v>178.459</v>
      </c>
      <c r="BX9" s="69">
        <f t="shared" si="13"/>
        <v>178.459</v>
      </c>
      <c r="BY9" s="49"/>
      <c r="BZ9" s="74"/>
      <c r="CA9" s="104"/>
      <c r="CB9" s="183"/>
      <c r="CC9" s="63"/>
      <c r="CD9" s="217">
        <v>45.731999999999999</v>
      </c>
      <c r="CE9" s="69">
        <f t="shared" si="14"/>
        <v>45.731999999999999</v>
      </c>
      <c r="CF9" s="49"/>
      <c r="CG9" s="74"/>
      <c r="CH9" s="104"/>
      <c r="CI9" s="183"/>
      <c r="CJ9" s="63"/>
      <c r="CK9" s="217">
        <v>156.59399999999999</v>
      </c>
      <c r="CL9" s="69">
        <f t="shared" si="15"/>
        <v>156.59399999999999</v>
      </c>
      <c r="CM9" s="49"/>
      <c r="CN9" s="74"/>
      <c r="CO9" s="104"/>
      <c r="CP9" s="183"/>
      <c r="CQ9" s="63"/>
      <c r="CR9" s="217">
        <v>146.977</v>
      </c>
      <c r="CS9" s="69">
        <f t="shared" si="16"/>
        <v>146.977</v>
      </c>
      <c r="CT9" s="49"/>
      <c r="CU9" s="74"/>
      <c r="CV9" s="104"/>
      <c r="CW9" s="183"/>
      <c r="CX9" s="40">
        <f t="shared" si="1"/>
        <v>47976.982999999993</v>
      </c>
    </row>
    <row r="10" spans="1:102" x14ac:dyDescent="0.25">
      <c r="A10" s="121" t="s">
        <v>12</v>
      </c>
      <c r="B10" s="71">
        <v>12568.107</v>
      </c>
      <c r="C10" s="72">
        <v>354.875</v>
      </c>
      <c r="D10" s="72">
        <v>7004.1469999999999</v>
      </c>
      <c r="E10" s="69">
        <f t="shared" si="2"/>
        <v>19927.129000000001</v>
      </c>
      <c r="F10" s="27">
        <v>27303961.100000001</v>
      </c>
      <c r="G10" s="67">
        <v>770958.84</v>
      </c>
      <c r="H10" s="67">
        <v>15216369.27</v>
      </c>
      <c r="I10" s="67">
        <f t="shared" ref="I10:I17" si="17">SUM(F10:H10)</f>
        <v>43291289.210000001</v>
      </c>
      <c r="J10" s="92">
        <f t="shared" ref="J10:J17" si="18">ROUND(I10*1.2,2)</f>
        <v>51949547.049999997</v>
      </c>
      <c r="K10" s="63">
        <v>21859.219000000001</v>
      </c>
      <c r="L10" s="217"/>
      <c r="M10" s="69">
        <f t="shared" si="3"/>
        <v>21859.219000000001</v>
      </c>
      <c r="N10" s="49">
        <v>5806315.0899999999</v>
      </c>
      <c r="O10" s="74"/>
      <c r="P10" s="104">
        <f t="shared" si="4"/>
        <v>5806315.0899999999</v>
      </c>
      <c r="Q10" s="183">
        <f t="shared" si="0"/>
        <v>6967578.1100000003</v>
      </c>
      <c r="R10" s="63"/>
      <c r="S10" s="217">
        <v>218.54499999999999</v>
      </c>
      <c r="T10" s="69">
        <f t="shared" si="5"/>
        <v>218.54499999999999</v>
      </c>
      <c r="U10" s="49"/>
      <c r="V10" s="74"/>
      <c r="W10" s="104"/>
      <c r="X10" s="183"/>
      <c r="Y10" s="63"/>
      <c r="Z10" s="217">
        <v>341.38799999999998</v>
      </c>
      <c r="AA10" s="69">
        <f t="shared" si="6"/>
        <v>341.38799999999998</v>
      </c>
      <c r="AB10" s="49"/>
      <c r="AC10" s="74"/>
      <c r="AD10" s="104"/>
      <c r="AE10" s="183"/>
      <c r="AF10" s="63">
        <v>352.517</v>
      </c>
      <c r="AG10" s="217"/>
      <c r="AH10" s="69">
        <f t="shared" si="7"/>
        <v>352.517</v>
      </c>
      <c r="AI10" s="49"/>
      <c r="AJ10" s="74"/>
      <c r="AK10" s="104"/>
      <c r="AL10" s="183"/>
      <c r="AM10" s="63">
        <v>46.698999999999998</v>
      </c>
      <c r="AN10" s="217">
        <v>51.040999999999997</v>
      </c>
      <c r="AO10" s="69">
        <f t="shared" si="8"/>
        <v>97.74</v>
      </c>
      <c r="AP10" s="49"/>
      <c r="AQ10" s="74"/>
      <c r="AR10" s="104"/>
      <c r="AS10" s="183"/>
      <c r="AT10" s="63"/>
      <c r="AU10" s="217">
        <v>1.544</v>
      </c>
      <c r="AV10" s="69">
        <f t="shared" si="9"/>
        <v>1.544</v>
      </c>
      <c r="AW10" s="49"/>
      <c r="AX10" s="74"/>
      <c r="AY10" s="104"/>
      <c r="AZ10" s="183"/>
      <c r="BA10" s="63"/>
      <c r="BB10" s="217">
        <v>84.682000000000002</v>
      </c>
      <c r="BC10" s="69">
        <f t="shared" si="10"/>
        <v>84.682000000000002</v>
      </c>
      <c r="BD10" s="49"/>
      <c r="BE10" s="74"/>
      <c r="BF10" s="104"/>
      <c r="BG10" s="183"/>
      <c r="BH10" s="63"/>
      <c r="BI10" s="217">
        <v>11.141999999999999</v>
      </c>
      <c r="BJ10" s="69">
        <f t="shared" si="11"/>
        <v>11.141999999999999</v>
      </c>
      <c r="BK10" s="49"/>
      <c r="BL10" s="74"/>
      <c r="BM10" s="104"/>
      <c r="BN10" s="183"/>
      <c r="BO10" s="63">
        <v>732.48400000000004</v>
      </c>
      <c r="BP10" s="217">
        <v>121.47199999999999</v>
      </c>
      <c r="BQ10" s="69">
        <f t="shared" si="12"/>
        <v>853.95600000000002</v>
      </c>
      <c r="BR10" s="49"/>
      <c r="BS10" s="74"/>
      <c r="BT10" s="104"/>
      <c r="BU10" s="183"/>
      <c r="BV10" s="63"/>
      <c r="BW10" s="217">
        <v>259.34800000000001</v>
      </c>
      <c r="BX10" s="69">
        <f t="shared" si="13"/>
        <v>259.34800000000001</v>
      </c>
      <c r="BY10" s="49"/>
      <c r="BZ10" s="74"/>
      <c r="CA10" s="104"/>
      <c r="CB10" s="183"/>
      <c r="CC10" s="63"/>
      <c r="CD10" s="217">
        <v>54.277000000000001</v>
      </c>
      <c r="CE10" s="69">
        <f t="shared" si="14"/>
        <v>54.277000000000001</v>
      </c>
      <c r="CF10" s="49"/>
      <c r="CG10" s="74"/>
      <c r="CH10" s="104"/>
      <c r="CI10" s="183"/>
      <c r="CJ10" s="63"/>
      <c r="CK10" s="217">
        <v>156.465</v>
      </c>
      <c r="CL10" s="69">
        <f t="shared" si="15"/>
        <v>156.465</v>
      </c>
      <c r="CM10" s="49"/>
      <c r="CN10" s="74"/>
      <c r="CO10" s="104"/>
      <c r="CP10" s="183"/>
      <c r="CQ10" s="63"/>
      <c r="CR10" s="217">
        <v>133.32400000000001</v>
      </c>
      <c r="CS10" s="69">
        <f t="shared" si="16"/>
        <v>133.32400000000001</v>
      </c>
      <c r="CT10" s="49"/>
      <c r="CU10" s="74"/>
      <c r="CV10" s="104"/>
      <c r="CW10" s="183"/>
      <c r="CX10" s="40">
        <f t="shared" si="1"/>
        <v>44351.275999999998</v>
      </c>
    </row>
    <row r="11" spans="1:102" ht="13.5" customHeight="1" x14ac:dyDescent="0.25">
      <c r="A11" s="121" t="s">
        <v>13</v>
      </c>
      <c r="B11" s="71">
        <v>12055.476000000001</v>
      </c>
      <c r="C11" s="72">
        <v>271.62200000000001</v>
      </c>
      <c r="D11" s="72">
        <v>6602.6760000000004</v>
      </c>
      <c r="E11" s="69">
        <f t="shared" si="2"/>
        <v>18929.774000000001</v>
      </c>
      <c r="F11" s="332">
        <v>26190280.5</v>
      </c>
      <c r="G11" s="67">
        <v>590093.36</v>
      </c>
      <c r="H11" s="67">
        <v>14344181.560000001</v>
      </c>
      <c r="I11" s="67">
        <f t="shared" si="17"/>
        <v>41124555.420000002</v>
      </c>
      <c r="J11" s="92">
        <f t="shared" si="18"/>
        <v>49349466.5</v>
      </c>
      <c r="K11" s="63">
        <v>20254.911</v>
      </c>
      <c r="L11" s="217"/>
      <c r="M11" s="69">
        <f t="shared" si="3"/>
        <v>20254.911</v>
      </c>
      <c r="N11" s="49">
        <v>5995479.3600000003</v>
      </c>
      <c r="O11" s="74"/>
      <c r="P11" s="104">
        <f t="shared" si="4"/>
        <v>5995479.3600000003</v>
      </c>
      <c r="Q11" s="183">
        <f t="shared" si="0"/>
        <v>7194575.2300000004</v>
      </c>
      <c r="R11" s="63"/>
      <c r="S11" s="217">
        <v>396.59699999999998</v>
      </c>
      <c r="T11" s="69">
        <f t="shared" si="5"/>
        <v>396.59699999999998</v>
      </c>
      <c r="U11" s="49"/>
      <c r="V11" s="74"/>
      <c r="W11" s="104"/>
      <c r="X11" s="183"/>
      <c r="Y11" s="63"/>
      <c r="Z11" s="217">
        <v>350.60399999999998</v>
      </c>
      <c r="AA11" s="69">
        <f t="shared" si="6"/>
        <v>350.60399999999998</v>
      </c>
      <c r="AB11" s="49"/>
      <c r="AC11" s="74"/>
      <c r="AD11" s="104"/>
      <c r="AE11" s="183"/>
      <c r="AF11" s="63">
        <v>306.91199999999998</v>
      </c>
      <c r="AG11" s="217"/>
      <c r="AH11" s="69">
        <f t="shared" si="7"/>
        <v>306.91199999999998</v>
      </c>
      <c r="AI11" s="49"/>
      <c r="AJ11" s="74"/>
      <c r="AK11" s="104"/>
      <c r="AL11" s="183"/>
      <c r="AM11" s="63">
        <v>46.439</v>
      </c>
      <c r="AN11" s="217">
        <v>25.545000000000002</v>
      </c>
      <c r="AO11" s="69">
        <f t="shared" si="8"/>
        <v>71.984000000000009</v>
      </c>
      <c r="AP11" s="49"/>
      <c r="AQ11" s="74"/>
      <c r="AR11" s="104"/>
      <c r="AS11" s="183"/>
      <c r="AT11" s="63"/>
      <c r="AU11" s="217">
        <v>1.4870000000000001</v>
      </c>
      <c r="AV11" s="69">
        <f t="shared" si="9"/>
        <v>1.4870000000000001</v>
      </c>
      <c r="AW11" s="49"/>
      <c r="AX11" s="74"/>
      <c r="AY11" s="104"/>
      <c r="AZ11" s="183"/>
      <c r="BA11" s="63"/>
      <c r="BB11" s="217">
        <v>91.382999999999996</v>
      </c>
      <c r="BC11" s="69">
        <f t="shared" si="10"/>
        <v>91.382999999999996</v>
      </c>
      <c r="BD11" s="49"/>
      <c r="BE11" s="74"/>
      <c r="BF11" s="104"/>
      <c r="BG11" s="183"/>
      <c r="BH11" s="63"/>
      <c r="BI11" s="217">
        <v>7.5910000000000002</v>
      </c>
      <c r="BJ11" s="69">
        <f t="shared" si="11"/>
        <v>7.5910000000000002</v>
      </c>
      <c r="BK11" s="49"/>
      <c r="BL11" s="74"/>
      <c r="BM11" s="104"/>
      <c r="BN11" s="183"/>
      <c r="BO11" s="63">
        <v>732.95699999999999</v>
      </c>
      <c r="BP11" s="217">
        <v>120.306</v>
      </c>
      <c r="BQ11" s="69">
        <f t="shared" si="12"/>
        <v>853.26300000000003</v>
      </c>
      <c r="BR11" s="49"/>
      <c r="BS11" s="74"/>
      <c r="BT11" s="104"/>
      <c r="BU11" s="183"/>
      <c r="BV11" s="63"/>
      <c r="BW11" s="217">
        <v>237.43100000000001</v>
      </c>
      <c r="BX11" s="69">
        <f t="shared" si="13"/>
        <v>237.43100000000001</v>
      </c>
      <c r="BY11" s="49"/>
      <c r="BZ11" s="74"/>
      <c r="CA11" s="104"/>
      <c r="CB11" s="183"/>
      <c r="CC11" s="63"/>
      <c r="CD11" s="217">
        <v>51.258000000000003</v>
      </c>
      <c r="CE11" s="69">
        <f t="shared" si="14"/>
        <v>51.258000000000003</v>
      </c>
      <c r="CF11" s="49"/>
      <c r="CG11" s="74"/>
      <c r="CH11" s="104"/>
      <c r="CI11" s="183"/>
      <c r="CJ11" s="63"/>
      <c r="CK11" s="217">
        <v>156.99</v>
      </c>
      <c r="CL11" s="69">
        <f t="shared" si="15"/>
        <v>156.99</v>
      </c>
      <c r="CM11" s="49"/>
      <c r="CN11" s="74"/>
      <c r="CO11" s="104"/>
      <c r="CP11" s="183"/>
      <c r="CQ11" s="63"/>
      <c r="CR11" s="217">
        <v>143.12</v>
      </c>
      <c r="CS11" s="69">
        <f t="shared" si="16"/>
        <v>143.12</v>
      </c>
      <c r="CT11" s="49"/>
      <c r="CU11" s="74"/>
      <c r="CV11" s="104"/>
      <c r="CW11" s="183"/>
      <c r="CX11" s="40">
        <f t="shared" si="1"/>
        <v>41853.305</v>
      </c>
    </row>
    <row r="12" spans="1:102" x14ac:dyDescent="0.25">
      <c r="A12" s="121" t="s">
        <v>14</v>
      </c>
      <c r="B12" s="71">
        <v>13294.074000000001</v>
      </c>
      <c r="C12" s="72">
        <v>259.88900000000001</v>
      </c>
      <c r="D12" s="72">
        <v>7853.8720000000003</v>
      </c>
      <c r="E12" s="69">
        <f t="shared" si="2"/>
        <v>21407.834999999999</v>
      </c>
      <c r="F12" s="27">
        <v>27873552.02</v>
      </c>
      <c r="G12" s="67">
        <v>544906.67000000004</v>
      </c>
      <c r="H12" s="67">
        <v>16467134.880000001</v>
      </c>
      <c r="I12" s="67">
        <f t="shared" si="17"/>
        <v>44885593.57</v>
      </c>
      <c r="J12" s="92">
        <f t="shared" si="18"/>
        <v>53862712.280000001</v>
      </c>
      <c r="K12" s="63">
        <v>20332.978999999999</v>
      </c>
      <c r="L12" s="217"/>
      <c r="M12" s="69">
        <f t="shared" si="3"/>
        <v>20332.978999999999</v>
      </c>
      <c r="N12" s="49">
        <v>6127662.6799999997</v>
      </c>
      <c r="O12" s="188"/>
      <c r="P12" s="104">
        <f t="shared" si="4"/>
        <v>6127662.6799999997</v>
      </c>
      <c r="Q12" s="183">
        <f t="shared" si="0"/>
        <v>7353195.2199999997</v>
      </c>
      <c r="R12" s="63"/>
      <c r="S12" s="217">
        <v>610.02099999999996</v>
      </c>
      <c r="T12" s="69">
        <f t="shared" si="5"/>
        <v>610.02099999999996</v>
      </c>
      <c r="U12" s="49"/>
      <c r="V12" s="188"/>
      <c r="W12" s="104"/>
      <c r="X12" s="183"/>
      <c r="Y12" s="63"/>
      <c r="Z12" s="217">
        <v>403.56</v>
      </c>
      <c r="AA12" s="69">
        <f t="shared" si="6"/>
        <v>403.56</v>
      </c>
      <c r="AB12" s="49"/>
      <c r="AC12" s="188"/>
      <c r="AD12" s="104"/>
      <c r="AE12" s="183"/>
      <c r="AF12" s="63">
        <v>335.42599999999999</v>
      </c>
      <c r="AG12" s="217"/>
      <c r="AH12" s="69">
        <f t="shared" si="7"/>
        <v>335.42599999999999</v>
      </c>
      <c r="AI12" s="49"/>
      <c r="AJ12" s="188"/>
      <c r="AK12" s="104"/>
      <c r="AL12" s="183"/>
      <c r="AM12" s="63">
        <v>48.984000000000002</v>
      </c>
      <c r="AN12" s="217">
        <v>11.601000000000001</v>
      </c>
      <c r="AO12" s="69">
        <f t="shared" si="8"/>
        <v>60.585000000000001</v>
      </c>
      <c r="AP12" s="49"/>
      <c r="AQ12" s="188"/>
      <c r="AR12" s="104"/>
      <c r="AS12" s="183"/>
      <c r="AT12" s="63"/>
      <c r="AU12" s="217">
        <v>1.431</v>
      </c>
      <c r="AV12" s="69">
        <f t="shared" si="9"/>
        <v>1.431</v>
      </c>
      <c r="AW12" s="49"/>
      <c r="AX12" s="188"/>
      <c r="AY12" s="104"/>
      <c r="AZ12" s="183"/>
      <c r="BA12" s="63"/>
      <c r="BB12" s="217">
        <v>92.435000000000002</v>
      </c>
      <c r="BC12" s="69">
        <f t="shared" si="10"/>
        <v>92.435000000000002</v>
      </c>
      <c r="BD12" s="49"/>
      <c r="BE12" s="188"/>
      <c r="BF12" s="104"/>
      <c r="BG12" s="183"/>
      <c r="BH12" s="63"/>
      <c r="BI12" s="217">
        <v>10.845000000000001</v>
      </c>
      <c r="BJ12" s="69">
        <f t="shared" si="11"/>
        <v>10.845000000000001</v>
      </c>
      <c r="BK12" s="49"/>
      <c r="BL12" s="188"/>
      <c r="BM12" s="104"/>
      <c r="BN12" s="183"/>
      <c r="BO12" s="63">
        <v>746.48099999999999</v>
      </c>
      <c r="BP12" s="217">
        <v>121.51900000000001</v>
      </c>
      <c r="BQ12" s="69">
        <f t="shared" si="12"/>
        <v>868</v>
      </c>
      <c r="BR12" s="49"/>
      <c r="BS12" s="188"/>
      <c r="BT12" s="104"/>
      <c r="BU12" s="183"/>
      <c r="BV12" s="63"/>
      <c r="BW12" s="217">
        <v>278.59300000000002</v>
      </c>
      <c r="BX12" s="69">
        <f t="shared" si="13"/>
        <v>278.59300000000002</v>
      </c>
      <c r="BY12" s="49"/>
      <c r="BZ12" s="188"/>
      <c r="CA12" s="104"/>
      <c r="CB12" s="183"/>
      <c r="CC12" s="63"/>
      <c r="CD12" s="217">
        <v>71.025999999999996</v>
      </c>
      <c r="CE12" s="69">
        <f t="shared" si="14"/>
        <v>71.025999999999996</v>
      </c>
      <c r="CF12" s="49"/>
      <c r="CG12" s="188"/>
      <c r="CH12" s="104"/>
      <c r="CI12" s="183"/>
      <c r="CJ12" s="63"/>
      <c r="CK12" s="217">
        <v>178.43899999999999</v>
      </c>
      <c r="CL12" s="69">
        <f t="shared" si="15"/>
        <v>178.43899999999999</v>
      </c>
      <c r="CM12" s="49"/>
      <c r="CN12" s="188"/>
      <c r="CO12" s="104"/>
      <c r="CP12" s="183"/>
      <c r="CQ12" s="63"/>
      <c r="CR12" s="217">
        <v>155.53</v>
      </c>
      <c r="CS12" s="69">
        <f t="shared" si="16"/>
        <v>155.53</v>
      </c>
      <c r="CT12" s="49"/>
      <c r="CU12" s="188"/>
      <c r="CV12" s="104"/>
      <c r="CW12" s="183"/>
      <c r="CX12" s="40">
        <f t="shared" si="1"/>
        <v>44806.704999999987</v>
      </c>
    </row>
    <row r="13" spans="1:102" x14ac:dyDescent="0.25">
      <c r="A13" s="121" t="s">
        <v>15</v>
      </c>
      <c r="B13" s="71">
        <v>12991.425999999999</v>
      </c>
      <c r="C13" s="72">
        <v>263.89299999999997</v>
      </c>
      <c r="D13" s="72">
        <v>7232.7110000000002</v>
      </c>
      <c r="E13" s="69">
        <f t="shared" si="2"/>
        <v>20488.03</v>
      </c>
      <c r="F13" s="27">
        <v>27238992.98</v>
      </c>
      <c r="G13" s="67">
        <v>553301.81000000006</v>
      </c>
      <c r="H13" s="67">
        <v>15164752.83</v>
      </c>
      <c r="I13" s="67">
        <f t="shared" si="17"/>
        <v>42957047.619999997</v>
      </c>
      <c r="J13" s="92">
        <f t="shared" si="18"/>
        <v>51548457.140000001</v>
      </c>
      <c r="K13" s="63">
        <v>17425.483</v>
      </c>
      <c r="L13" s="217"/>
      <c r="M13" s="69">
        <f t="shared" si="3"/>
        <v>17425.483</v>
      </c>
      <c r="N13" s="49">
        <v>6227675.3799999999</v>
      </c>
      <c r="O13" s="74"/>
      <c r="P13" s="104">
        <f t="shared" si="4"/>
        <v>6227675.3799999999</v>
      </c>
      <c r="Q13" s="183">
        <f t="shared" si="0"/>
        <v>7473210.46</v>
      </c>
      <c r="R13" s="63"/>
      <c r="S13" s="217">
        <v>566.25099999999998</v>
      </c>
      <c r="T13" s="69">
        <f t="shared" si="5"/>
        <v>566.25099999999998</v>
      </c>
      <c r="U13" s="49"/>
      <c r="V13" s="74"/>
      <c r="W13" s="104"/>
      <c r="X13" s="183"/>
      <c r="Y13" s="63"/>
      <c r="Z13" s="217">
        <v>377.48399999999998</v>
      </c>
      <c r="AA13" s="69">
        <f t="shared" si="6"/>
        <v>377.48399999999998</v>
      </c>
      <c r="AB13" s="49"/>
      <c r="AC13" s="74"/>
      <c r="AD13" s="104"/>
      <c r="AE13" s="183"/>
      <c r="AF13" s="63">
        <v>361.04700000000003</v>
      </c>
      <c r="AG13" s="217"/>
      <c r="AH13" s="69">
        <f t="shared" si="7"/>
        <v>361.04700000000003</v>
      </c>
      <c r="AI13" s="49"/>
      <c r="AJ13" s="74"/>
      <c r="AK13" s="104"/>
      <c r="AL13" s="183"/>
      <c r="AM13" s="63">
        <v>46.366</v>
      </c>
      <c r="AN13" s="217">
        <v>19.777000000000001</v>
      </c>
      <c r="AO13" s="69">
        <f t="shared" si="8"/>
        <v>66.143000000000001</v>
      </c>
      <c r="AP13" s="49"/>
      <c r="AQ13" s="74"/>
      <c r="AR13" s="104"/>
      <c r="AS13" s="183"/>
      <c r="AT13" s="63"/>
      <c r="AU13" s="217">
        <v>1.556</v>
      </c>
      <c r="AV13" s="69">
        <f t="shared" si="9"/>
        <v>1.556</v>
      </c>
      <c r="AW13" s="49"/>
      <c r="AX13" s="74"/>
      <c r="AY13" s="104"/>
      <c r="AZ13" s="183"/>
      <c r="BA13" s="63"/>
      <c r="BB13" s="217">
        <v>82.822000000000003</v>
      </c>
      <c r="BC13" s="69">
        <f t="shared" si="10"/>
        <v>82.822000000000003</v>
      </c>
      <c r="BD13" s="49"/>
      <c r="BE13" s="74"/>
      <c r="BF13" s="104"/>
      <c r="BG13" s="183"/>
      <c r="BH13" s="63"/>
      <c r="BI13" s="217">
        <v>10.904</v>
      </c>
      <c r="BJ13" s="69">
        <f t="shared" si="11"/>
        <v>10.904</v>
      </c>
      <c r="BK13" s="49"/>
      <c r="BL13" s="74"/>
      <c r="BM13" s="104"/>
      <c r="BN13" s="183"/>
      <c r="BO13" s="63">
        <v>593.73900000000003</v>
      </c>
      <c r="BP13" s="217">
        <v>122.66500000000001</v>
      </c>
      <c r="BQ13" s="69">
        <f t="shared" si="12"/>
        <v>716.404</v>
      </c>
      <c r="BR13" s="49"/>
      <c r="BS13" s="74"/>
      <c r="BT13" s="104"/>
      <c r="BU13" s="183"/>
      <c r="BV13" s="63"/>
      <c r="BW13" s="217">
        <v>280.17099999999999</v>
      </c>
      <c r="BX13" s="69">
        <f t="shared" si="13"/>
        <v>280.17099999999999</v>
      </c>
      <c r="BY13" s="49"/>
      <c r="BZ13" s="74"/>
      <c r="CA13" s="104"/>
      <c r="CB13" s="183"/>
      <c r="CC13" s="63"/>
      <c r="CD13" s="217">
        <v>60.890999999999998</v>
      </c>
      <c r="CE13" s="69">
        <f t="shared" si="14"/>
        <v>60.890999999999998</v>
      </c>
      <c r="CF13" s="49"/>
      <c r="CG13" s="74"/>
      <c r="CH13" s="104"/>
      <c r="CI13" s="183"/>
      <c r="CJ13" s="63"/>
      <c r="CK13" s="217">
        <v>182.959</v>
      </c>
      <c r="CL13" s="69">
        <f t="shared" si="15"/>
        <v>182.959</v>
      </c>
      <c r="CM13" s="49"/>
      <c r="CN13" s="74"/>
      <c r="CO13" s="104"/>
      <c r="CP13" s="183"/>
      <c r="CQ13" s="63"/>
      <c r="CR13" s="217">
        <v>152.744</v>
      </c>
      <c r="CS13" s="69">
        <f t="shared" si="16"/>
        <v>152.744</v>
      </c>
      <c r="CT13" s="49"/>
      <c r="CU13" s="74"/>
      <c r="CV13" s="104"/>
      <c r="CW13" s="183"/>
      <c r="CX13" s="40">
        <f t="shared" si="1"/>
        <v>40772.889000000003</v>
      </c>
    </row>
    <row r="14" spans="1:102" x14ac:dyDescent="0.25">
      <c r="A14" s="121" t="s">
        <v>16</v>
      </c>
      <c r="B14" s="71">
        <v>14670.936</v>
      </c>
      <c r="C14" s="72">
        <v>331.21600000000001</v>
      </c>
      <c r="D14" s="72">
        <v>6911.02</v>
      </c>
      <c r="E14" s="69">
        <f t="shared" si="2"/>
        <v>21913.171999999999</v>
      </c>
      <c r="F14" s="27">
        <v>30760404.800000001</v>
      </c>
      <c r="G14" s="67">
        <v>694457.28</v>
      </c>
      <c r="H14" s="67">
        <v>14490266.52</v>
      </c>
      <c r="I14" s="67">
        <f t="shared" si="17"/>
        <v>45945128.600000001</v>
      </c>
      <c r="J14" s="92">
        <f t="shared" si="18"/>
        <v>55134154.32</v>
      </c>
      <c r="K14" s="63">
        <v>19939.883999999998</v>
      </c>
      <c r="L14" s="217"/>
      <c r="M14" s="69">
        <f t="shared" si="3"/>
        <v>19939.883999999998</v>
      </c>
      <c r="N14" s="197">
        <v>6864265.9699999997</v>
      </c>
      <c r="O14" s="74"/>
      <c r="P14" s="104">
        <f t="shared" si="4"/>
        <v>6864265.9699999997</v>
      </c>
      <c r="Q14" s="183">
        <f t="shared" si="0"/>
        <v>8237119.1600000001</v>
      </c>
      <c r="R14" s="71"/>
      <c r="S14" s="169">
        <v>514.49699999999996</v>
      </c>
      <c r="T14" s="69">
        <f t="shared" si="5"/>
        <v>514.49699999999996</v>
      </c>
      <c r="U14" s="49"/>
      <c r="V14" s="74"/>
      <c r="W14" s="104"/>
      <c r="X14" s="183"/>
      <c r="Y14" s="71"/>
      <c r="Z14" s="169">
        <v>324.16800000000001</v>
      </c>
      <c r="AA14" s="69">
        <f t="shared" si="6"/>
        <v>324.16800000000001</v>
      </c>
      <c r="AB14" s="49"/>
      <c r="AC14" s="74"/>
      <c r="AD14" s="104"/>
      <c r="AE14" s="183"/>
      <c r="AF14" s="71">
        <v>69.48</v>
      </c>
      <c r="AG14" s="169"/>
      <c r="AH14" s="69">
        <f t="shared" si="7"/>
        <v>69.48</v>
      </c>
      <c r="AI14" s="49"/>
      <c r="AJ14" s="74"/>
      <c r="AK14" s="104"/>
      <c r="AL14" s="183"/>
      <c r="AM14" s="71">
        <v>46.186999999999998</v>
      </c>
      <c r="AN14" s="169">
        <v>52.015000000000001</v>
      </c>
      <c r="AO14" s="69">
        <f t="shared" si="8"/>
        <v>98.201999999999998</v>
      </c>
      <c r="AP14" s="49"/>
      <c r="AQ14" s="74"/>
      <c r="AR14" s="104"/>
      <c r="AS14" s="183"/>
      <c r="AT14" s="71"/>
      <c r="AU14" s="169">
        <v>1.887</v>
      </c>
      <c r="AV14" s="69">
        <f t="shared" si="9"/>
        <v>1.887</v>
      </c>
      <c r="AW14" s="49"/>
      <c r="AX14" s="74"/>
      <c r="AY14" s="104"/>
      <c r="AZ14" s="183"/>
      <c r="BA14" s="71"/>
      <c r="BB14" s="169">
        <v>103.26300000000001</v>
      </c>
      <c r="BC14" s="69">
        <f t="shared" si="10"/>
        <v>103.26300000000001</v>
      </c>
      <c r="BD14" s="49"/>
      <c r="BE14" s="74"/>
      <c r="BF14" s="104"/>
      <c r="BG14" s="183"/>
      <c r="BH14" s="71"/>
      <c r="BI14" s="169">
        <v>12.478</v>
      </c>
      <c r="BJ14" s="69">
        <f t="shared" si="11"/>
        <v>12.478</v>
      </c>
      <c r="BK14" s="49"/>
      <c r="BL14" s="74"/>
      <c r="BM14" s="104"/>
      <c r="BN14" s="183"/>
      <c r="BO14" s="71">
        <v>484.089</v>
      </c>
      <c r="BP14" s="169">
        <v>124.776</v>
      </c>
      <c r="BQ14" s="69">
        <f t="shared" si="12"/>
        <v>608.86500000000001</v>
      </c>
      <c r="BR14" s="49"/>
      <c r="BS14" s="74"/>
      <c r="BT14" s="104"/>
      <c r="BU14" s="183"/>
      <c r="BV14" s="71"/>
      <c r="BW14" s="169">
        <v>236.37299999999999</v>
      </c>
      <c r="BX14" s="69">
        <f t="shared" si="13"/>
        <v>236.37299999999999</v>
      </c>
      <c r="BY14" s="49"/>
      <c r="BZ14" s="74"/>
      <c r="CA14" s="104"/>
      <c r="CB14" s="183"/>
      <c r="CC14" s="71"/>
      <c r="CD14" s="169">
        <v>57.289000000000001</v>
      </c>
      <c r="CE14" s="69">
        <f t="shared" si="14"/>
        <v>57.289000000000001</v>
      </c>
      <c r="CF14" s="49"/>
      <c r="CG14" s="74"/>
      <c r="CH14" s="104"/>
      <c r="CI14" s="183"/>
      <c r="CJ14" s="71"/>
      <c r="CK14" s="169">
        <v>170.029</v>
      </c>
      <c r="CL14" s="69">
        <f t="shared" si="15"/>
        <v>170.029</v>
      </c>
      <c r="CM14" s="49"/>
      <c r="CN14" s="74"/>
      <c r="CO14" s="104"/>
      <c r="CP14" s="183"/>
      <c r="CQ14" s="71"/>
      <c r="CR14" s="169">
        <v>147.79</v>
      </c>
      <c r="CS14" s="69">
        <f t="shared" si="16"/>
        <v>147.79</v>
      </c>
      <c r="CT14" s="49"/>
      <c r="CU14" s="74"/>
      <c r="CV14" s="104"/>
      <c r="CW14" s="183"/>
      <c r="CX14" s="40">
        <f t="shared" si="1"/>
        <v>44197.377</v>
      </c>
    </row>
    <row r="15" spans="1:102" x14ac:dyDescent="0.25">
      <c r="A15" s="121" t="s">
        <v>17</v>
      </c>
      <c r="B15" s="71">
        <v>15284.14</v>
      </c>
      <c r="C15" s="72">
        <v>374.05200000000002</v>
      </c>
      <c r="D15" s="72">
        <v>7723.83</v>
      </c>
      <c r="E15" s="69">
        <f t="shared" si="2"/>
        <v>23382.021999999997</v>
      </c>
      <c r="F15" s="27">
        <v>32046103.5</v>
      </c>
      <c r="G15" s="67">
        <v>784271.09</v>
      </c>
      <c r="H15" s="67">
        <v>16194477.119999999</v>
      </c>
      <c r="I15" s="67">
        <f t="shared" si="17"/>
        <v>49024851.710000001</v>
      </c>
      <c r="J15" s="92">
        <f t="shared" si="18"/>
        <v>58829822.049999997</v>
      </c>
      <c r="K15" s="63">
        <v>22829.29</v>
      </c>
      <c r="L15" s="217"/>
      <c r="M15" s="69">
        <f t="shared" si="3"/>
        <v>22829.29</v>
      </c>
      <c r="N15" s="49">
        <v>6891559.0300000003</v>
      </c>
      <c r="O15" s="221"/>
      <c r="P15" s="104">
        <f t="shared" si="4"/>
        <v>6891559.0300000003</v>
      </c>
      <c r="Q15" s="183">
        <f t="shared" si="0"/>
        <v>8269870.8399999999</v>
      </c>
      <c r="R15" s="63"/>
      <c r="S15" s="217">
        <v>540.32799999999997</v>
      </c>
      <c r="T15" s="69">
        <f t="shared" si="5"/>
        <v>540.32799999999997</v>
      </c>
      <c r="U15" s="197"/>
      <c r="V15" s="221"/>
      <c r="W15" s="104"/>
      <c r="X15" s="183"/>
      <c r="Y15" s="63"/>
      <c r="Z15" s="217">
        <v>361.06799999999998</v>
      </c>
      <c r="AA15" s="69">
        <f t="shared" si="6"/>
        <v>361.06799999999998</v>
      </c>
      <c r="AB15" s="197"/>
      <c r="AC15" s="221"/>
      <c r="AD15" s="104"/>
      <c r="AE15" s="183"/>
      <c r="AF15" s="63">
        <v>405.72199999999998</v>
      </c>
      <c r="AG15" s="217"/>
      <c r="AH15" s="69">
        <f t="shared" si="7"/>
        <v>405.72199999999998</v>
      </c>
      <c r="AI15" s="197"/>
      <c r="AJ15" s="221"/>
      <c r="AK15" s="104"/>
      <c r="AL15" s="183"/>
      <c r="AM15" s="63">
        <v>56.064999999999998</v>
      </c>
      <c r="AN15" s="217">
        <v>62.006999999999998</v>
      </c>
      <c r="AO15" s="69">
        <f t="shared" si="8"/>
        <v>118.072</v>
      </c>
      <c r="AP15" s="197"/>
      <c r="AQ15" s="221"/>
      <c r="AR15" s="104"/>
      <c r="AS15" s="183"/>
      <c r="AT15" s="63"/>
      <c r="AU15" s="217">
        <v>1.8120000000000001</v>
      </c>
      <c r="AV15" s="69">
        <f t="shared" si="9"/>
        <v>1.8120000000000001</v>
      </c>
      <c r="AW15" s="197"/>
      <c r="AX15" s="221"/>
      <c r="AY15" s="104"/>
      <c r="AZ15" s="183"/>
      <c r="BA15" s="63"/>
      <c r="BB15" s="217">
        <v>103.812</v>
      </c>
      <c r="BC15" s="69">
        <f t="shared" si="10"/>
        <v>103.812</v>
      </c>
      <c r="BD15" s="197"/>
      <c r="BE15" s="221"/>
      <c r="BF15" s="104"/>
      <c r="BG15" s="183"/>
      <c r="BH15" s="63"/>
      <c r="BI15" s="217">
        <v>13.834</v>
      </c>
      <c r="BJ15" s="69">
        <f t="shared" si="11"/>
        <v>13.834</v>
      </c>
      <c r="BK15" s="197"/>
      <c r="BL15" s="221"/>
      <c r="BM15" s="104"/>
      <c r="BN15" s="183"/>
      <c r="BO15" s="63">
        <v>421.41500000000002</v>
      </c>
      <c r="BP15" s="217">
        <v>124.91800000000001</v>
      </c>
      <c r="BQ15" s="69">
        <f t="shared" si="12"/>
        <v>546.33300000000008</v>
      </c>
      <c r="BR15" s="197"/>
      <c r="BS15" s="221"/>
      <c r="BT15" s="104"/>
      <c r="BU15" s="183"/>
      <c r="BV15" s="63"/>
      <c r="BW15" s="217">
        <v>230.74100000000001</v>
      </c>
      <c r="BX15" s="69">
        <f t="shared" si="13"/>
        <v>230.74100000000001</v>
      </c>
      <c r="BY15" s="197"/>
      <c r="BZ15" s="221"/>
      <c r="CA15" s="104"/>
      <c r="CB15" s="183"/>
      <c r="CC15" s="63"/>
      <c r="CD15" s="217">
        <v>57.012</v>
      </c>
      <c r="CE15" s="69">
        <f t="shared" si="14"/>
        <v>57.012</v>
      </c>
      <c r="CF15" s="197"/>
      <c r="CG15" s="221"/>
      <c r="CH15" s="104"/>
      <c r="CI15" s="183"/>
      <c r="CJ15" s="63"/>
      <c r="CK15" s="217">
        <v>168.29400000000001</v>
      </c>
      <c r="CL15" s="69">
        <f t="shared" si="15"/>
        <v>168.29400000000001</v>
      </c>
      <c r="CM15" s="197"/>
      <c r="CN15" s="221"/>
      <c r="CO15" s="104"/>
      <c r="CP15" s="183"/>
      <c r="CQ15" s="63"/>
      <c r="CR15" s="217">
        <v>138.226</v>
      </c>
      <c r="CS15" s="69">
        <f t="shared" si="16"/>
        <v>138.226</v>
      </c>
      <c r="CT15" s="197"/>
      <c r="CU15" s="221"/>
      <c r="CV15" s="104"/>
      <c r="CW15" s="183"/>
      <c r="CX15" s="40">
        <f t="shared" si="1"/>
        <v>48896.565999999999</v>
      </c>
    </row>
    <row r="16" spans="1:102" x14ac:dyDescent="0.25">
      <c r="A16" s="121" t="s">
        <v>18</v>
      </c>
      <c r="B16" s="71">
        <v>16285.753000000001</v>
      </c>
      <c r="C16" s="72">
        <v>407.28300000000002</v>
      </c>
      <c r="D16" s="72">
        <v>7459.5379999999996</v>
      </c>
      <c r="E16" s="69">
        <f t="shared" si="2"/>
        <v>24152.574000000001</v>
      </c>
      <c r="F16" s="27">
        <v>34146175.460000001</v>
      </c>
      <c r="G16" s="67">
        <v>853946.19</v>
      </c>
      <c r="H16" s="67">
        <v>15640338.73</v>
      </c>
      <c r="I16" s="67">
        <f t="shared" si="17"/>
        <v>50640460.379999995</v>
      </c>
      <c r="J16" s="92">
        <f t="shared" si="18"/>
        <v>60768552.460000001</v>
      </c>
      <c r="K16" s="71">
        <v>23436.593000000001</v>
      </c>
      <c r="L16" s="218"/>
      <c r="M16" s="69">
        <f t="shared" si="3"/>
        <v>23436.593000000001</v>
      </c>
      <c r="N16" s="167">
        <v>6800498.96</v>
      </c>
      <c r="O16" s="104"/>
      <c r="P16" s="104">
        <f t="shared" si="4"/>
        <v>6800498.96</v>
      </c>
      <c r="Q16" s="183">
        <f t="shared" si="0"/>
        <v>8160598.75</v>
      </c>
      <c r="R16" s="71"/>
      <c r="S16" s="218">
        <v>576.22799999999995</v>
      </c>
      <c r="T16" s="69">
        <f t="shared" si="5"/>
        <v>576.22799999999995</v>
      </c>
      <c r="U16" s="49"/>
      <c r="V16" s="104"/>
      <c r="W16" s="104"/>
      <c r="X16" s="183"/>
      <c r="Y16" s="71"/>
      <c r="Z16" s="218">
        <v>349.488</v>
      </c>
      <c r="AA16" s="69">
        <f t="shared" si="6"/>
        <v>349.488</v>
      </c>
      <c r="AB16" s="49"/>
      <c r="AC16" s="104"/>
      <c r="AD16" s="104"/>
      <c r="AE16" s="183"/>
      <c r="AF16" s="71">
        <v>345.07799999999997</v>
      </c>
      <c r="AG16" s="218"/>
      <c r="AH16" s="69">
        <f t="shared" si="7"/>
        <v>345.07799999999997</v>
      </c>
      <c r="AI16" s="49"/>
      <c r="AJ16" s="104"/>
      <c r="AK16" s="104"/>
      <c r="AL16" s="183"/>
      <c r="AM16" s="71">
        <v>59.11</v>
      </c>
      <c r="AN16" s="218">
        <v>57.298999999999999</v>
      </c>
      <c r="AO16" s="69">
        <f t="shared" si="8"/>
        <v>116.40899999999999</v>
      </c>
      <c r="AP16" s="49"/>
      <c r="AQ16" s="104"/>
      <c r="AR16" s="104"/>
      <c r="AS16" s="183"/>
      <c r="AT16" s="71"/>
      <c r="AU16" s="218">
        <v>1.617</v>
      </c>
      <c r="AV16" s="69">
        <f t="shared" si="9"/>
        <v>1.617</v>
      </c>
      <c r="AW16" s="49"/>
      <c r="AX16" s="104"/>
      <c r="AY16" s="104"/>
      <c r="AZ16" s="183"/>
      <c r="BA16" s="71"/>
      <c r="BB16" s="218">
        <v>110.893</v>
      </c>
      <c r="BC16" s="69">
        <f t="shared" si="10"/>
        <v>110.893</v>
      </c>
      <c r="BD16" s="49"/>
      <c r="BE16" s="104"/>
      <c r="BF16" s="104"/>
      <c r="BG16" s="183"/>
      <c r="BH16" s="71"/>
      <c r="BI16" s="218">
        <v>13.816000000000001</v>
      </c>
      <c r="BJ16" s="69">
        <f t="shared" si="11"/>
        <v>13.816000000000001</v>
      </c>
      <c r="BK16" s="49"/>
      <c r="BL16" s="104"/>
      <c r="BM16" s="104"/>
      <c r="BN16" s="183"/>
      <c r="BO16" s="71">
        <v>645.79600000000005</v>
      </c>
      <c r="BP16" s="218">
        <v>133.24100000000001</v>
      </c>
      <c r="BQ16" s="69">
        <f t="shared" si="12"/>
        <v>779.03700000000003</v>
      </c>
      <c r="BR16" s="49"/>
      <c r="BS16" s="104"/>
      <c r="BT16" s="104"/>
      <c r="BU16" s="183"/>
      <c r="BV16" s="71"/>
      <c r="BW16" s="218">
        <v>292.97699999999998</v>
      </c>
      <c r="BX16" s="69">
        <f t="shared" si="13"/>
        <v>292.97699999999998</v>
      </c>
      <c r="BY16" s="49"/>
      <c r="BZ16" s="104"/>
      <c r="CA16" s="104"/>
      <c r="CB16" s="183"/>
      <c r="CC16" s="71"/>
      <c r="CD16" s="218">
        <v>69.956999999999994</v>
      </c>
      <c r="CE16" s="69">
        <f t="shared" si="14"/>
        <v>69.956999999999994</v>
      </c>
      <c r="CF16" s="49"/>
      <c r="CG16" s="104"/>
      <c r="CH16" s="104"/>
      <c r="CI16" s="183"/>
      <c r="CJ16" s="71"/>
      <c r="CK16" s="218">
        <v>173.411</v>
      </c>
      <c r="CL16" s="69">
        <f t="shared" si="15"/>
        <v>173.411</v>
      </c>
      <c r="CM16" s="49"/>
      <c r="CN16" s="104"/>
      <c r="CO16" s="104"/>
      <c r="CP16" s="183"/>
      <c r="CQ16" s="71"/>
      <c r="CR16" s="218">
        <v>143.08000000000001</v>
      </c>
      <c r="CS16" s="69">
        <f t="shared" si="16"/>
        <v>143.08000000000001</v>
      </c>
      <c r="CT16" s="49"/>
      <c r="CU16" s="104"/>
      <c r="CV16" s="104"/>
      <c r="CW16" s="183"/>
      <c r="CX16" s="40">
        <f t="shared" si="1"/>
        <v>50561.157999999996</v>
      </c>
    </row>
    <row r="17" spans="1:102" ht="15.75" thickBot="1" x14ac:dyDescent="0.3">
      <c r="A17" s="155" t="s">
        <v>19</v>
      </c>
      <c r="B17" s="316">
        <v>18358.11</v>
      </c>
      <c r="C17" s="317">
        <v>441.01600000000002</v>
      </c>
      <c r="D17" s="306">
        <v>8032.1329999999998</v>
      </c>
      <c r="E17" s="298">
        <f>SUM(B17:D17)</f>
        <v>26831.258999999998</v>
      </c>
      <c r="F17" s="28">
        <v>38491265.659999996</v>
      </c>
      <c r="G17" s="103">
        <v>924673.84</v>
      </c>
      <c r="H17" s="103">
        <v>16840892.940000001</v>
      </c>
      <c r="I17" s="103">
        <f t="shared" si="17"/>
        <v>56256832.439999998</v>
      </c>
      <c r="J17" s="105">
        <f t="shared" si="18"/>
        <v>67508198.930000007</v>
      </c>
      <c r="K17" s="316">
        <v>25938.117999999999</v>
      </c>
      <c r="L17" s="306"/>
      <c r="M17" s="298">
        <f t="shared" si="3"/>
        <v>25938.117999999999</v>
      </c>
      <c r="N17" s="220">
        <v>7264666.8399999999</v>
      </c>
      <c r="O17" s="115"/>
      <c r="P17" s="104">
        <f t="shared" si="4"/>
        <v>7264666.8399999999</v>
      </c>
      <c r="Q17" s="183">
        <f t="shared" si="0"/>
        <v>8717600.2100000009</v>
      </c>
      <c r="R17" s="198"/>
      <c r="S17" s="219">
        <v>652.27700000000004</v>
      </c>
      <c r="T17" s="69">
        <f t="shared" si="5"/>
        <v>652.27700000000004</v>
      </c>
      <c r="U17" s="220"/>
      <c r="V17" s="115"/>
      <c r="W17" s="104"/>
      <c r="X17" s="183"/>
      <c r="Y17" s="198"/>
      <c r="Z17" s="219">
        <v>379.33199999999999</v>
      </c>
      <c r="AA17" s="69">
        <f t="shared" si="6"/>
        <v>379.33199999999999</v>
      </c>
      <c r="AB17" s="220"/>
      <c r="AC17" s="115"/>
      <c r="AD17" s="104"/>
      <c r="AE17" s="183"/>
      <c r="AF17" s="198">
        <v>435.85500000000002</v>
      </c>
      <c r="AG17" s="219"/>
      <c r="AH17" s="69">
        <f t="shared" si="7"/>
        <v>435.85500000000002</v>
      </c>
      <c r="AI17" s="220"/>
      <c r="AJ17" s="115"/>
      <c r="AK17" s="104"/>
      <c r="AL17" s="183"/>
      <c r="AM17" s="198">
        <v>69.236000000000004</v>
      </c>
      <c r="AN17" s="219">
        <v>69.894999999999996</v>
      </c>
      <c r="AO17" s="69">
        <f t="shared" si="8"/>
        <v>139.131</v>
      </c>
      <c r="AP17" s="220"/>
      <c r="AQ17" s="115"/>
      <c r="AR17" s="104"/>
      <c r="AS17" s="183"/>
      <c r="AT17" s="198"/>
      <c r="AU17" s="219">
        <v>1.6459999999999999</v>
      </c>
      <c r="AV17" s="69">
        <f t="shared" si="9"/>
        <v>1.6459999999999999</v>
      </c>
      <c r="AW17" s="220"/>
      <c r="AX17" s="115"/>
      <c r="AY17" s="104"/>
      <c r="AZ17" s="183"/>
      <c r="BA17" s="198"/>
      <c r="BB17" s="219">
        <v>131.828</v>
      </c>
      <c r="BC17" s="69">
        <f t="shared" si="10"/>
        <v>131.828</v>
      </c>
      <c r="BD17" s="220"/>
      <c r="BE17" s="115"/>
      <c r="BF17" s="104"/>
      <c r="BG17" s="183"/>
      <c r="BH17" s="198"/>
      <c r="BI17" s="219">
        <v>14.196</v>
      </c>
      <c r="BJ17" s="69">
        <f t="shared" si="11"/>
        <v>14.196</v>
      </c>
      <c r="BK17" s="220"/>
      <c r="BL17" s="115"/>
      <c r="BM17" s="104"/>
      <c r="BN17" s="183"/>
      <c r="BO17" s="198">
        <v>882.60699999999997</v>
      </c>
      <c r="BP17" s="219">
        <v>134.739</v>
      </c>
      <c r="BQ17" s="69">
        <f t="shared" si="12"/>
        <v>1017.346</v>
      </c>
      <c r="BR17" s="220"/>
      <c r="BS17" s="115"/>
      <c r="BT17" s="104"/>
      <c r="BU17" s="183"/>
      <c r="BV17" s="198"/>
      <c r="BW17" s="219">
        <v>313.69299999999998</v>
      </c>
      <c r="BX17" s="69">
        <f t="shared" si="13"/>
        <v>313.69299999999998</v>
      </c>
      <c r="BY17" s="220"/>
      <c r="BZ17" s="115"/>
      <c r="CA17" s="104"/>
      <c r="CB17" s="183"/>
      <c r="CC17" s="198"/>
      <c r="CD17" s="219">
        <v>77.453999999999994</v>
      </c>
      <c r="CE17" s="69">
        <f t="shared" si="14"/>
        <v>77.453999999999994</v>
      </c>
      <c r="CF17" s="220"/>
      <c r="CG17" s="115"/>
      <c r="CH17" s="104"/>
      <c r="CI17" s="183"/>
      <c r="CJ17" s="198"/>
      <c r="CK17" s="219">
        <v>193.256</v>
      </c>
      <c r="CL17" s="69">
        <f t="shared" si="15"/>
        <v>193.256</v>
      </c>
      <c r="CM17" s="220"/>
      <c r="CN17" s="115"/>
      <c r="CO17" s="104"/>
      <c r="CP17" s="183"/>
      <c r="CQ17" s="198"/>
      <c r="CR17" s="219">
        <v>151.654</v>
      </c>
      <c r="CS17" s="69">
        <f t="shared" si="16"/>
        <v>151.654</v>
      </c>
      <c r="CT17" s="220"/>
      <c r="CU17" s="115"/>
      <c r="CV17" s="104"/>
      <c r="CW17" s="183"/>
      <c r="CX17" s="40">
        <f t="shared" si="1"/>
        <v>56277.045000000006</v>
      </c>
    </row>
    <row r="18" spans="1:102" ht="15.75" thickBot="1" x14ac:dyDescent="0.3">
      <c r="A18" s="202" t="s">
        <v>11</v>
      </c>
      <c r="B18" s="199">
        <f>SUM(B6:B17)</f>
        <v>188743.68800000002</v>
      </c>
      <c r="C18" s="199">
        <f>SUM(C6:C17)</f>
        <v>4759.5149999999994</v>
      </c>
      <c r="D18" s="200">
        <f>SUM(D6:D17)</f>
        <v>92624.969000000012</v>
      </c>
      <c r="E18" s="307">
        <f>SUM(E6:E17)</f>
        <v>286128.17199999996</v>
      </c>
      <c r="F18" s="84">
        <f>SUM(F10:F17)</f>
        <v>244050736.02000001</v>
      </c>
      <c r="G18" s="108">
        <f>SUM(G6:G17)</f>
        <v>10182508.870000001</v>
      </c>
      <c r="H18" s="108">
        <f>SUM(H6:H17)</f>
        <v>197799191.5</v>
      </c>
      <c r="I18" s="108">
        <f>SUM(I6:I17)</f>
        <v>611135456.05999994</v>
      </c>
      <c r="J18" s="86">
        <f t="shared" ref="J18:M18" si="19">SUM(J6:J17)</f>
        <v>733362547.25999999</v>
      </c>
      <c r="K18" s="308">
        <f t="shared" si="19"/>
        <v>268112.37799999997</v>
      </c>
      <c r="L18" s="83">
        <f>SUM(L6:L17)</f>
        <v>0</v>
      </c>
      <c r="M18" s="309">
        <f t="shared" si="19"/>
        <v>268112.37799999997</v>
      </c>
      <c r="N18" s="142">
        <f>SUM(N6:N17)</f>
        <v>78252685.939999998</v>
      </c>
      <c r="O18" s="142">
        <f>SUM(O6:O17)</f>
        <v>0</v>
      </c>
      <c r="P18" s="109">
        <f>SUM(P6:P17)</f>
        <v>78252685.939999998</v>
      </c>
      <c r="Q18" s="187">
        <f>SUM(Q6:Q17)</f>
        <v>93903223.129999995</v>
      </c>
      <c r="R18" s="178">
        <f t="shared" ref="R18" si="20">SUM(R6:R17)</f>
        <v>0</v>
      </c>
      <c r="S18" s="179">
        <f>SUM(S6:S17)</f>
        <v>4676.6809999999996</v>
      </c>
      <c r="T18" s="180">
        <f t="shared" ref="T18" si="21">SUM(T6:T17)</f>
        <v>4676.6809999999996</v>
      </c>
      <c r="U18" s="142">
        <f>SUM(U6:U17)</f>
        <v>0</v>
      </c>
      <c r="V18" s="142">
        <f>SUM(V6:V17)</f>
        <v>0</v>
      </c>
      <c r="W18" s="109">
        <f>SUM(W6:W17)</f>
        <v>0</v>
      </c>
      <c r="X18" s="133">
        <f>SUM(X6:X17)</f>
        <v>0</v>
      </c>
      <c r="Y18" s="178">
        <f t="shared" ref="Y18" si="22">SUM(Y6:Y17)</f>
        <v>0</v>
      </c>
      <c r="Z18" s="179">
        <f>SUM(Z6:Z17)</f>
        <v>4329.5519999999997</v>
      </c>
      <c r="AA18" s="180">
        <f t="shared" ref="AA18" si="23">SUM(AA6:AA17)</f>
        <v>4329.5519999999997</v>
      </c>
      <c r="AB18" s="142">
        <f>SUM(AB6:AB17)</f>
        <v>0</v>
      </c>
      <c r="AC18" s="142">
        <f>SUM(AC6:AC17)</f>
        <v>0</v>
      </c>
      <c r="AD18" s="109">
        <f>SUM(AD6:AD17)</f>
        <v>0</v>
      </c>
      <c r="AE18" s="133">
        <f>SUM(AE6:AE17)</f>
        <v>0</v>
      </c>
      <c r="AF18" s="178">
        <f t="shared" ref="AF18" si="24">SUM(AF6:AF17)</f>
        <v>3773.518</v>
      </c>
      <c r="AG18" s="179">
        <f>SUM(AG6:AG17)</f>
        <v>0</v>
      </c>
      <c r="AH18" s="180">
        <f t="shared" ref="AH18" si="25">SUM(AH6:AH17)</f>
        <v>3773.518</v>
      </c>
      <c r="AI18" s="142">
        <f>SUM(AI6:AI17)</f>
        <v>0</v>
      </c>
      <c r="AJ18" s="142">
        <f>SUM(AJ6:AJ17)</f>
        <v>0</v>
      </c>
      <c r="AK18" s="109">
        <f>SUM(AK6:AK17)</f>
        <v>0</v>
      </c>
      <c r="AL18" s="133">
        <f>SUM(AL6:AL17)</f>
        <v>0</v>
      </c>
      <c r="AM18" s="178">
        <f t="shared" ref="AM18" si="26">SUM(AM6:AM17)</f>
        <v>677.04899999999998</v>
      </c>
      <c r="AN18" s="179">
        <f>SUM(AN6:AN17)</f>
        <v>581.32899999999995</v>
      </c>
      <c r="AO18" s="180">
        <f t="shared" ref="AO18" si="27">SUM(AO6:AO17)</f>
        <v>1258.3780000000002</v>
      </c>
      <c r="AP18" s="142">
        <f>SUM(AP6:AP17)</f>
        <v>0</v>
      </c>
      <c r="AQ18" s="142">
        <f>SUM(AQ6:AQ17)</f>
        <v>0</v>
      </c>
      <c r="AR18" s="109">
        <f>SUM(AR6:AR17)</f>
        <v>0</v>
      </c>
      <c r="AS18" s="133">
        <f>SUM(AS6:AS17)</f>
        <v>0</v>
      </c>
      <c r="AT18" s="178">
        <f t="shared" ref="AT18" si="28">SUM(AT6:AT17)</f>
        <v>0</v>
      </c>
      <c r="AU18" s="179">
        <f>SUM(AU6:AU17)</f>
        <v>19.823000000000004</v>
      </c>
      <c r="AV18" s="180">
        <f t="shared" ref="AV18" si="29">SUM(AV6:AV17)</f>
        <v>19.823000000000004</v>
      </c>
      <c r="AW18" s="142">
        <f>SUM(AW6:AW17)</f>
        <v>0</v>
      </c>
      <c r="AX18" s="142">
        <f>SUM(AX6:AX17)</f>
        <v>0</v>
      </c>
      <c r="AY18" s="109">
        <f>SUM(AY6:AY17)</f>
        <v>0</v>
      </c>
      <c r="AZ18" s="133">
        <f>SUM(AZ6:AZ17)</f>
        <v>0</v>
      </c>
      <c r="BA18" s="178">
        <f t="shared" ref="BA18" si="30">SUM(BA6:BA17)</f>
        <v>0</v>
      </c>
      <c r="BB18" s="179">
        <f>SUM(BB6:BB17)</f>
        <v>1198.636</v>
      </c>
      <c r="BC18" s="180">
        <f t="shared" ref="BC18" si="31">SUM(BC6:BC17)</f>
        <v>1198.636</v>
      </c>
      <c r="BD18" s="142">
        <f>SUM(BD6:BD17)</f>
        <v>0</v>
      </c>
      <c r="BE18" s="142">
        <f>SUM(BE6:BE17)</f>
        <v>0</v>
      </c>
      <c r="BF18" s="109">
        <f>SUM(BF6:BF17)</f>
        <v>0</v>
      </c>
      <c r="BG18" s="133">
        <f>SUM(BG6:BG17)</f>
        <v>0</v>
      </c>
      <c r="BH18" s="178">
        <f t="shared" ref="BH18" si="32">SUM(BH6:BH17)</f>
        <v>0</v>
      </c>
      <c r="BI18" s="179">
        <f>SUM(BI6:BI17)</f>
        <v>142.642</v>
      </c>
      <c r="BJ18" s="180">
        <f t="shared" ref="BJ18" si="33">SUM(BJ6:BJ17)</f>
        <v>142.642</v>
      </c>
      <c r="BK18" s="142">
        <f>SUM(BK6:BK17)</f>
        <v>0</v>
      </c>
      <c r="BL18" s="142">
        <f>SUM(BL6:BL17)</f>
        <v>0</v>
      </c>
      <c r="BM18" s="109">
        <f>SUM(BM6:BM17)</f>
        <v>0</v>
      </c>
      <c r="BN18" s="133">
        <f>SUM(BN6:BN17)</f>
        <v>0</v>
      </c>
      <c r="BO18" s="178">
        <f t="shared" ref="BO18" si="34">SUM(BO6:BO17)</f>
        <v>8150.5000000000009</v>
      </c>
      <c r="BP18" s="179">
        <f>SUM(BP6:BP17)</f>
        <v>1533.1510000000003</v>
      </c>
      <c r="BQ18" s="180">
        <f t="shared" ref="BQ18" si="35">SUM(BQ6:BQ17)</f>
        <v>9683.6509999999998</v>
      </c>
      <c r="BR18" s="142">
        <f>SUM(BR6:BR17)</f>
        <v>0</v>
      </c>
      <c r="BS18" s="142">
        <f>SUM(BS6:BS17)</f>
        <v>0</v>
      </c>
      <c r="BT18" s="109">
        <f>SUM(BT6:BT17)</f>
        <v>0</v>
      </c>
      <c r="BU18" s="133">
        <f>SUM(BU6:BU17)</f>
        <v>0</v>
      </c>
      <c r="BV18" s="178">
        <f t="shared" ref="BV18" si="36">SUM(BV6:BV17)</f>
        <v>0</v>
      </c>
      <c r="BW18" s="179">
        <f>SUM(BW6:BW17)</f>
        <v>2835.732</v>
      </c>
      <c r="BX18" s="180">
        <f t="shared" ref="BX18" si="37">SUM(BX6:BX17)</f>
        <v>2835.732</v>
      </c>
      <c r="BY18" s="142">
        <f>SUM(BY6:BY17)</f>
        <v>0</v>
      </c>
      <c r="BZ18" s="142">
        <f>SUM(BZ6:BZ17)</f>
        <v>0</v>
      </c>
      <c r="CA18" s="109">
        <f>SUM(CA6:CA17)</f>
        <v>0</v>
      </c>
      <c r="CB18" s="133">
        <f>SUM(CB6:CB17)</f>
        <v>0</v>
      </c>
      <c r="CC18" s="178">
        <f t="shared" ref="CC18" si="38">SUM(CC6:CC17)</f>
        <v>0</v>
      </c>
      <c r="CD18" s="179">
        <f>SUM(CD6:CD17)</f>
        <v>739.63099999999997</v>
      </c>
      <c r="CE18" s="180">
        <f t="shared" ref="CE18" si="39">SUM(CE6:CE17)</f>
        <v>739.63099999999997</v>
      </c>
      <c r="CF18" s="142">
        <f>SUM(CF6:CF17)</f>
        <v>0</v>
      </c>
      <c r="CG18" s="142">
        <f>SUM(CG6:CG17)</f>
        <v>0</v>
      </c>
      <c r="CH18" s="109">
        <f>SUM(CH6:CH17)</f>
        <v>0</v>
      </c>
      <c r="CI18" s="133">
        <f>SUM(CI6:CI17)</f>
        <v>0</v>
      </c>
      <c r="CJ18" s="178">
        <f t="shared" ref="CJ18" si="40">SUM(CJ6:CJ17)</f>
        <v>0</v>
      </c>
      <c r="CK18" s="179">
        <f>SUM(CK6:CK17)</f>
        <v>1989.8530000000003</v>
      </c>
      <c r="CL18" s="180">
        <f t="shared" ref="CL18" si="41">SUM(CL6:CL17)</f>
        <v>1989.8530000000003</v>
      </c>
      <c r="CM18" s="142">
        <f>SUM(CM6:CM17)</f>
        <v>0</v>
      </c>
      <c r="CN18" s="142">
        <f>SUM(CN6:CN17)</f>
        <v>0</v>
      </c>
      <c r="CO18" s="109">
        <f>SUM(CO6:CO17)</f>
        <v>0</v>
      </c>
      <c r="CP18" s="133">
        <f>SUM(CP6:CP17)</f>
        <v>0</v>
      </c>
      <c r="CQ18" s="178">
        <f t="shared" ref="CQ18" si="42">SUM(CQ6:CQ17)</f>
        <v>0</v>
      </c>
      <c r="CR18" s="179">
        <f>SUM(CR6:CR17)</f>
        <v>1778.48</v>
      </c>
      <c r="CS18" s="180">
        <f t="shared" ref="CS18" si="43">SUM(CS6:CS17)</f>
        <v>1778.48</v>
      </c>
      <c r="CT18" s="142">
        <f>SUM(CT6:CT17)</f>
        <v>0</v>
      </c>
      <c r="CU18" s="142">
        <f>SUM(CU6:CU17)</f>
        <v>0</v>
      </c>
      <c r="CV18" s="109">
        <f>SUM(CV6:CV17)</f>
        <v>0</v>
      </c>
      <c r="CW18" s="133">
        <f>SUM(CW6:CW17)</f>
        <v>0</v>
      </c>
      <c r="CX18" s="40">
        <f>SUM(CX6:CX17)</f>
        <v>586667.12699999998</v>
      </c>
    </row>
    <row r="19" spans="1:102" x14ac:dyDescent="0.25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24"/>
      <c r="S19" s="24"/>
      <c r="T19" s="25"/>
      <c r="U19" s="3"/>
      <c r="V19" s="3"/>
      <c r="W19" s="3"/>
      <c r="X19" s="3"/>
    </row>
    <row r="20" spans="1:102" ht="19.5" x14ac:dyDescent="0.35">
      <c r="A20" s="383" t="s">
        <v>64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3"/>
    </row>
    <row r="21" spans="1:102" ht="15.75" thickBo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24"/>
      <c r="S21" s="24"/>
      <c r="T21" s="25"/>
      <c r="U21" s="3"/>
      <c r="V21" s="3"/>
      <c r="W21" s="3"/>
      <c r="X21" s="3"/>
    </row>
    <row r="22" spans="1:102" ht="26.25" customHeight="1" thickBot="1" x14ac:dyDescent="0.3">
      <c r="A22" s="373" t="s">
        <v>82</v>
      </c>
      <c r="B22" s="363" t="s">
        <v>65</v>
      </c>
      <c r="C22" s="370"/>
      <c r="D22" s="370"/>
      <c r="E22" s="371"/>
      <c r="F22" s="371"/>
      <c r="G22" s="372"/>
      <c r="H22" s="372"/>
      <c r="I22" s="372"/>
      <c r="J22" s="365"/>
      <c r="K22" s="363" t="s">
        <v>83</v>
      </c>
      <c r="L22" s="370"/>
      <c r="M22" s="371"/>
      <c r="N22" s="371"/>
      <c r="O22" s="372"/>
      <c r="P22" s="372"/>
      <c r="Q22" s="365"/>
      <c r="R22" s="366" t="s">
        <v>66</v>
      </c>
      <c r="S22" s="367"/>
      <c r="T22" s="367"/>
      <c r="U22" s="367"/>
      <c r="V22" s="367"/>
      <c r="W22" s="367"/>
      <c r="X22" s="368"/>
      <c r="Y22" s="360" t="s">
        <v>80</v>
      </c>
      <c r="Z22" s="361"/>
      <c r="AA22" s="361"/>
      <c r="AB22" s="361"/>
      <c r="AC22" s="361"/>
      <c r="AD22" s="361"/>
      <c r="AE22" s="362"/>
      <c r="AF22" s="360" t="s">
        <v>87</v>
      </c>
      <c r="AG22" s="361"/>
      <c r="AH22" s="361"/>
      <c r="AI22" s="361"/>
      <c r="AJ22" s="361"/>
      <c r="AK22" s="361"/>
      <c r="AL22" s="362"/>
      <c r="AM22" s="384" t="s">
        <v>67</v>
      </c>
      <c r="AN22" s="384"/>
      <c r="AO22" s="384"/>
      <c r="AP22" s="385"/>
      <c r="AQ22" s="385"/>
      <c r="AR22" s="386"/>
      <c r="AS22" s="386"/>
      <c r="AT22" s="386"/>
      <c r="AU22" s="387"/>
      <c r="AV22" s="388" t="s">
        <v>69</v>
      </c>
      <c r="AW22" s="388"/>
      <c r="AX22" s="340"/>
      <c r="AY22" s="340"/>
      <c r="AZ22" s="389"/>
      <c r="BA22" s="389"/>
      <c r="BB22" s="341"/>
      <c r="BC22" s="388" t="s">
        <v>96</v>
      </c>
      <c r="BD22" s="388"/>
      <c r="BE22" s="340"/>
      <c r="BF22" s="340"/>
      <c r="BG22" s="389"/>
      <c r="BH22" s="389"/>
      <c r="BI22" s="341"/>
      <c r="BJ22" s="388" t="s">
        <v>97</v>
      </c>
      <c r="BK22" s="388"/>
      <c r="BL22" s="340"/>
      <c r="BM22" s="340"/>
      <c r="BN22" s="389"/>
      <c r="BO22" s="389"/>
      <c r="BP22" s="341"/>
      <c r="BQ22" s="388" t="s">
        <v>79</v>
      </c>
      <c r="BR22" s="388"/>
      <c r="BS22" s="340"/>
      <c r="BT22" s="340"/>
      <c r="BU22" s="389"/>
      <c r="BV22" s="389"/>
      <c r="BW22" s="341"/>
      <c r="BX22" s="388" t="s">
        <v>95</v>
      </c>
      <c r="BY22" s="388"/>
      <c r="BZ22" s="340"/>
      <c r="CA22" s="340"/>
      <c r="CB22" s="389"/>
      <c r="CC22" s="389"/>
      <c r="CD22" s="341"/>
    </row>
    <row r="23" spans="1:102" ht="51.75" customHeight="1" thickBot="1" x14ac:dyDescent="0.3">
      <c r="A23" s="374"/>
      <c r="B23" s="377" t="s">
        <v>20</v>
      </c>
      <c r="C23" s="361"/>
      <c r="D23" s="361"/>
      <c r="E23" s="378"/>
      <c r="F23" s="377" t="s">
        <v>8</v>
      </c>
      <c r="G23" s="361"/>
      <c r="H23" s="361"/>
      <c r="I23" s="361"/>
      <c r="J23" s="378"/>
      <c r="K23" s="363" t="s">
        <v>20</v>
      </c>
      <c r="L23" s="364"/>
      <c r="M23" s="365"/>
      <c r="N23" s="363" t="s">
        <v>8</v>
      </c>
      <c r="O23" s="364"/>
      <c r="P23" s="364"/>
      <c r="Q23" s="365"/>
      <c r="R23" s="363" t="s">
        <v>20</v>
      </c>
      <c r="S23" s="364"/>
      <c r="T23" s="365"/>
      <c r="U23" s="363" t="s">
        <v>8</v>
      </c>
      <c r="V23" s="364"/>
      <c r="W23" s="364"/>
      <c r="X23" s="365"/>
      <c r="Y23" s="363" t="s">
        <v>20</v>
      </c>
      <c r="Z23" s="364"/>
      <c r="AA23" s="365"/>
      <c r="AB23" s="363" t="s">
        <v>8</v>
      </c>
      <c r="AC23" s="364"/>
      <c r="AD23" s="364"/>
      <c r="AE23" s="365"/>
      <c r="AF23" s="363" t="s">
        <v>20</v>
      </c>
      <c r="AG23" s="364"/>
      <c r="AH23" s="365"/>
      <c r="AI23" s="363" t="s">
        <v>8</v>
      </c>
      <c r="AJ23" s="364"/>
      <c r="AK23" s="364"/>
      <c r="AL23" s="365"/>
      <c r="AM23" s="339" t="s">
        <v>20</v>
      </c>
      <c r="AN23" s="336"/>
      <c r="AO23" s="336"/>
      <c r="AP23" s="341"/>
      <c r="AQ23" s="339" t="s">
        <v>8</v>
      </c>
      <c r="AR23" s="336"/>
      <c r="AS23" s="336"/>
      <c r="AT23" s="336"/>
      <c r="AU23" s="341"/>
      <c r="AV23" s="339" t="s">
        <v>20</v>
      </c>
      <c r="AW23" s="336"/>
      <c r="AX23" s="341"/>
      <c r="AY23" s="339" t="s">
        <v>8</v>
      </c>
      <c r="AZ23" s="336"/>
      <c r="BA23" s="336"/>
      <c r="BB23" s="341"/>
      <c r="BC23" s="339" t="s">
        <v>20</v>
      </c>
      <c r="BD23" s="336"/>
      <c r="BE23" s="341"/>
      <c r="BF23" s="339" t="s">
        <v>8</v>
      </c>
      <c r="BG23" s="336"/>
      <c r="BH23" s="336"/>
      <c r="BI23" s="341"/>
      <c r="BJ23" s="339" t="s">
        <v>20</v>
      </c>
      <c r="BK23" s="336"/>
      <c r="BL23" s="341"/>
      <c r="BM23" s="339" t="s">
        <v>8</v>
      </c>
      <c r="BN23" s="336"/>
      <c r="BO23" s="336"/>
      <c r="BP23" s="341"/>
      <c r="BQ23" s="339" t="s">
        <v>20</v>
      </c>
      <c r="BR23" s="336"/>
      <c r="BS23" s="341"/>
      <c r="BT23" s="339" t="s">
        <v>8</v>
      </c>
      <c r="BU23" s="336"/>
      <c r="BV23" s="336"/>
      <c r="BW23" s="341"/>
      <c r="BX23" s="339" t="s">
        <v>20</v>
      </c>
      <c r="BY23" s="336"/>
      <c r="BZ23" s="341"/>
      <c r="CA23" s="339" t="s">
        <v>8</v>
      </c>
      <c r="CB23" s="336"/>
      <c r="CC23" s="336"/>
      <c r="CD23" s="341"/>
    </row>
    <row r="24" spans="1:102" ht="26.25" thickBot="1" x14ac:dyDescent="0.3">
      <c r="A24" s="375"/>
      <c r="B24" s="84" t="s">
        <v>42</v>
      </c>
      <c r="C24" s="108" t="s">
        <v>40</v>
      </c>
      <c r="D24" s="108" t="s">
        <v>2</v>
      </c>
      <c r="E24" s="86" t="s">
        <v>11</v>
      </c>
      <c r="F24" s="142" t="s">
        <v>1</v>
      </c>
      <c r="G24" s="109" t="s">
        <v>40</v>
      </c>
      <c r="H24" s="109" t="s">
        <v>2</v>
      </c>
      <c r="I24" s="228" t="s">
        <v>53</v>
      </c>
      <c r="J24" s="229" t="s">
        <v>54</v>
      </c>
      <c r="K24" s="125" t="s">
        <v>1</v>
      </c>
      <c r="L24" s="51" t="s">
        <v>2</v>
      </c>
      <c r="M24" s="56" t="s">
        <v>11</v>
      </c>
      <c r="N24" s="125" t="s">
        <v>1</v>
      </c>
      <c r="O24" s="126" t="s">
        <v>2</v>
      </c>
      <c r="P24" s="226" t="s">
        <v>53</v>
      </c>
      <c r="Q24" s="227" t="s">
        <v>54</v>
      </c>
      <c r="R24" s="125" t="s">
        <v>1</v>
      </c>
      <c r="S24" s="51" t="s">
        <v>2</v>
      </c>
      <c r="T24" s="56" t="s">
        <v>11</v>
      </c>
      <c r="U24" s="125" t="s">
        <v>1</v>
      </c>
      <c r="V24" s="126" t="s">
        <v>2</v>
      </c>
      <c r="W24" s="325" t="s">
        <v>53</v>
      </c>
      <c r="X24" s="227" t="s">
        <v>54</v>
      </c>
      <c r="Y24" s="125" t="s">
        <v>1</v>
      </c>
      <c r="Z24" s="300" t="s">
        <v>2</v>
      </c>
      <c r="AA24" s="56" t="s">
        <v>11</v>
      </c>
      <c r="AB24" s="125" t="s">
        <v>1</v>
      </c>
      <c r="AC24" s="126" t="s">
        <v>2</v>
      </c>
      <c r="AD24" s="301" t="s">
        <v>53</v>
      </c>
      <c r="AE24" s="227" t="s">
        <v>54</v>
      </c>
      <c r="AF24" s="125" t="s">
        <v>1</v>
      </c>
      <c r="AG24" s="300" t="s">
        <v>2</v>
      </c>
      <c r="AH24" s="56" t="s">
        <v>11</v>
      </c>
      <c r="AI24" s="125" t="s">
        <v>1</v>
      </c>
      <c r="AJ24" s="126" t="s">
        <v>2</v>
      </c>
      <c r="AK24" s="301" t="s">
        <v>53</v>
      </c>
      <c r="AL24" s="227" t="s">
        <v>54</v>
      </c>
      <c r="AM24" s="125" t="s">
        <v>1</v>
      </c>
      <c r="AN24" s="126" t="s">
        <v>40</v>
      </c>
      <c r="AO24" s="145" t="s">
        <v>2</v>
      </c>
      <c r="AP24" s="146" t="s">
        <v>11</v>
      </c>
      <c r="AQ24" s="125" t="s">
        <v>1</v>
      </c>
      <c r="AR24" s="126" t="s">
        <v>40</v>
      </c>
      <c r="AS24" s="126" t="s">
        <v>2</v>
      </c>
      <c r="AT24" s="330" t="s">
        <v>53</v>
      </c>
      <c r="AU24" s="331" t="s">
        <v>68</v>
      </c>
      <c r="AV24" s="125" t="s">
        <v>1</v>
      </c>
      <c r="AW24" s="303" t="s">
        <v>2</v>
      </c>
      <c r="AX24" s="146" t="s">
        <v>11</v>
      </c>
      <c r="AY24" s="310" t="s">
        <v>1</v>
      </c>
      <c r="AZ24" s="311" t="s">
        <v>2</v>
      </c>
      <c r="BA24" s="304" t="s">
        <v>53</v>
      </c>
      <c r="BB24" s="312" t="s">
        <v>54</v>
      </c>
      <c r="BC24" s="125" t="s">
        <v>1</v>
      </c>
      <c r="BD24" s="327" t="s">
        <v>2</v>
      </c>
      <c r="BE24" s="146" t="s">
        <v>11</v>
      </c>
      <c r="BF24" s="310" t="s">
        <v>1</v>
      </c>
      <c r="BG24" s="311" t="s">
        <v>2</v>
      </c>
      <c r="BH24" s="328" t="s">
        <v>53</v>
      </c>
      <c r="BI24" s="312" t="s">
        <v>54</v>
      </c>
      <c r="BJ24" s="125" t="s">
        <v>1</v>
      </c>
      <c r="BK24" s="327" t="s">
        <v>2</v>
      </c>
      <c r="BL24" s="146" t="s">
        <v>11</v>
      </c>
      <c r="BM24" s="310" t="s">
        <v>1</v>
      </c>
      <c r="BN24" s="311" t="s">
        <v>2</v>
      </c>
      <c r="BO24" s="328" t="s">
        <v>53</v>
      </c>
      <c r="BP24" s="312" t="s">
        <v>54</v>
      </c>
      <c r="BQ24" s="125" t="s">
        <v>1</v>
      </c>
      <c r="BR24" s="327" t="s">
        <v>2</v>
      </c>
      <c r="BS24" s="146" t="s">
        <v>11</v>
      </c>
      <c r="BT24" s="310" t="s">
        <v>1</v>
      </c>
      <c r="BU24" s="311" t="s">
        <v>2</v>
      </c>
      <c r="BV24" s="328" t="s">
        <v>53</v>
      </c>
      <c r="BW24" s="312" t="s">
        <v>54</v>
      </c>
      <c r="BX24" s="125" t="s">
        <v>1</v>
      </c>
      <c r="BY24" s="327" t="s">
        <v>2</v>
      </c>
      <c r="BZ24" s="146" t="s">
        <v>11</v>
      </c>
      <c r="CA24" s="310" t="s">
        <v>1</v>
      </c>
      <c r="CB24" s="311" t="s">
        <v>2</v>
      </c>
      <c r="CC24" s="328" t="s">
        <v>53</v>
      </c>
      <c r="CD24" s="312" t="s">
        <v>54</v>
      </c>
    </row>
    <row r="25" spans="1:102" ht="14.25" customHeight="1" x14ac:dyDescent="0.25">
      <c r="A25" s="214" t="s">
        <v>4</v>
      </c>
      <c r="B25" s="206">
        <v>3068.2150000000001</v>
      </c>
      <c r="C25" s="124">
        <v>52.776000000000003</v>
      </c>
      <c r="D25" s="124">
        <v>1135.4449999999999</v>
      </c>
      <c r="E25" s="66">
        <f>SUM(B25:D25)</f>
        <v>4256.4359999999997</v>
      </c>
      <c r="F25" s="147"/>
      <c r="G25" s="70"/>
      <c r="H25" s="124"/>
      <c r="I25" s="205"/>
      <c r="J25" s="208"/>
      <c r="K25" s="206"/>
      <c r="L25" s="216">
        <v>157.22999999999999</v>
      </c>
      <c r="M25" s="66">
        <f>SUM(K25:L25)</f>
        <v>157.22999999999999</v>
      </c>
      <c r="N25" s="207"/>
      <c r="O25" s="188"/>
      <c r="P25" s="188"/>
      <c r="Q25" s="183"/>
      <c r="R25" s="206"/>
      <c r="S25" s="216">
        <v>0</v>
      </c>
      <c r="T25" s="66">
        <f>SUM(R25:S25)</f>
        <v>0</v>
      </c>
      <c r="U25" s="207"/>
      <c r="V25" s="188"/>
      <c r="W25" s="188"/>
      <c r="X25" s="183"/>
      <c r="Y25" s="206"/>
      <c r="Z25" s="216">
        <v>16.173999999999999</v>
      </c>
      <c r="AA25" s="66">
        <f>SUM(Y25:Z25)</f>
        <v>16.173999999999999</v>
      </c>
      <c r="AB25" s="207"/>
      <c r="AC25" s="188"/>
      <c r="AD25" s="188"/>
      <c r="AE25" s="183"/>
      <c r="AF25" s="206"/>
      <c r="AG25" s="216">
        <v>121.49299999999999</v>
      </c>
      <c r="AH25" s="66">
        <f>SUM(AF25:AG25)</f>
        <v>121.49299999999999</v>
      </c>
      <c r="AI25" s="207"/>
      <c r="AJ25" s="188"/>
      <c r="AK25" s="188"/>
      <c r="AL25" s="183"/>
      <c r="AM25" s="223">
        <v>1815.4739999999999</v>
      </c>
      <c r="AN25" s="224">
        <v>1.3680000000000001</v>
      </c>
      <c r="AO25" s="38">
        <v>226.923</v>
      </c>
      <c r="AP25" s="144">
        <f>SUM(AM25:AO25)</f>
        <v>2043.7649999999999</v>
      </c>
      <c r="AQ25" s="207"/>
      <c r="AR25" s="188"/>
      <c r="AS25" s="188"/>
      <c r="AT25" s="195"/>
      <c r="AU25" s="196"/>
      <c r="AV25" s="139"/>
      <c r="AW25" s="216">
        <v>106.929</v>
      </c>
      <c r="AX25" s="144">
        <f>SUM(AV25:AW25)</f>
        <v>106.929</v>
      </c>
      <c r="AY25" s="139"/>
      <c r="AZ25" s="70"/>
      <c r="BA25" s="205"/>
      <c r="BB25" s="149"/>
      <c r="BC25" s="139"/>
      <c r="BD25" s="216">
        <v>169.49100000000001</v>
      </c>
      <c r="BE25" s="144">
        <f>SUM(BC25:BD25)</f>
        <v>169.49100000000001</v>
      </c>
      <c r="BF25" s="139"/>
      <c r="BG25" s="70"/>
      <c r="BH25" s="205"/>
      <c r="BI25" s="149"/>
      <c r="BJ25" s="139"/>
      <c r="BK25" s="216">
        <v>21.452000000000002</v>
      </c>
      <c r="BL25" s="144">
        <f>SUM(BJ25:BK25)</f>
        <v>21.452000000000002</v>
      </c>
      <c r="BM25" s="139"/>
      <c r="BN25" s="70"/>
      <c r="BO25" s="205"/>
      <c r="BP25" s="149"/>
      <c r="BQ25" s="135">
        <v>53.140999999999998</v>
      </c>
      <c r="BR25" s="216"/>
      <c r="BS25" s="144">
        <f>SUM(BQ25:BR25)</f>
        <v>53.140999999999998</v>
      </c>
      <c r="BT25" s="139"/>
      <c r="BU25" s="70"/>
      <c r="BV25" s="205"/>
      <c r="BW25" s="149"/>
      <c r="BX25" s="139"/>
      <c r="BY25" s="216">
        <v>295.42099999999999</v>
      </c>
      <c r="BZ25" s="144">
        <f>SUM(BX25:BY25)</f>
        <v>295.42099999999999</v>
      </c>
      <c r="CA25" s="139"/>
      <c r="CB25" s="70"/>
      <c r="CC25" s="205"/>
      <c r="CD25" s="149"/>
      <c r="CX25" s="40">
        <f>E25+M25+T25+AA25+AH25+AP25+AX25+BE25+BL25+BS25+BZ25</f>
        <v>7241.5320000000002</v>
      </c>
    </row>
    <row r="26" spans="1:102" x14ac:dyDescent="0.25">
      <c r="A26" s="214" t="s">
        <v>5</v>
      </c>
      <c r="B26" s="63">
        <v>2476.9050000000002</v>
      </c>
      <c r="C26" s="64">
        <v>49.427999999999997</v>
      </c>
      <c r="D26" s="64">
        <v>1043.1880000000001</v>
      </c>
      <c r="E26" s="69">
        <f t="shared" ref="E26:E35" si="44">SUM(B26:D26)</f>
        <v>3569.5210000000002</v>
      </c>
      <c r="F26" s="27"/>
      <c r="G26" s="67"/>
      <c r="H26" s="67"/>
      <c r="I26" s="159"/>
      <c r="J26" s="94"/>
      <c r="K26" s="63"/>
      <c r="L26" s="217">
        <v>149.76900000000001</v>
      </c>
      <c r="M26" s="69">
        <f>SUM(K26:L26)</f>
        <v>149.76900000000001</v>
      </c>
      <c r="N26" s="49"/>
      <c r="O26" s="104"/>
      <c r="P26" s="104"/>
      <c r="Q26" s="183"/>
      <c r="R26" s="63"/>
      <c r="S26" s="217">
        <v>0</v>
      </c>
      <c r="T26" s="69">
        <f>SUM(R26:S26)</f>
        <v>0</v>
      </c>
      <c r="U26" s="49"/>
      <c r="V26" s="104"/>
      <c r="W26" s="188"/>
      <c r="X26" s="183"/>
      <c r="Y26" s="63"/>
      <c r="Z26" s="217">
        <v>14.092000000000001</v>
      </c>
      <c r="AA26" s="69">
        <f>SUM(Y26:Z26)</f>
        <v>14.092000000000001</v>
      </c>
      <c r="AB26" s="49"/>
      <c r="AC26" s="104"/>
      <c r="AD26" s="104"/>
      <c r="AE26" s="183"/>
      <c r="AF26" s="63"/>
      <c r="AG26" s="217">
        <v>119.953</v>
      </c>
      <c r="AH26" s="69">
        <f>SUM(AF26:AG26)</f>
        <v>119.953</v>
      </c>
      <c r="AI26" s="49"/>
      <c r="AJ26" s="104"/>
      <c r="AK26" s="104"/>
      <c r="AL26" s="183"/>
      <c r="AM26" s="63">
        <v>2102.1860000000001</v>
      </c>
      <c r="AN26" s="110">
        <v>1.1639999999999999</v>
      </c>
      <c r="AO26" s="217">
        <v>196.245</v>
      </c>
      <c r="AP26" s="119">
        <f t="shared" ref="AP26:AP35" si="45">SUM(AM26:AO26)</f>
        <v>2299.5950000000003</v>
      </c>
      <c r="AQ26" s="49"/>
      <c r="AR26" s="74"/>
      <c r="AS26" s="74"/>
      <c r="AT26" s="75"/>
      <c r="AU26" s="154"/>
      <c r="AV26" s="91"/>
      <c r="AW26" s="217">
        <v>100.813</v>
      </c>
      <c r="AX26" s="119">
        <f t="shared" ref="AX26:AX36" si="46">SUM(AV26:AW26)</f>
        <v>100.813</v>
      </c>
      <c r="AY26" s="91"/>
      <c r="AZ26" s="67"/>
      <c r="BA26" s="159"/>
      <c r="BB26" s="121"/>
      <c r="BC26" s="91"/>
      <c r="BD26" s="217">
        <v>164.298</v>
      </c>
      <c r="BE26" s="119">
        <f t="shared" ref="BE26:BE36" si="47">SUM(BC26:BD26)</f>
        <v>164.298</v>
      </c>
      <c r="BF26" s="91"/>
      <c r="BG26" s="67"/>
      <c r="BH26" s="159"/>
      <c r="BI26" s="121"/>
      <c r="BJ26" s="91"/>
      <c r="BK26" s="217">
        <v>20.591999999999999</v>
      </c>
      <c r="BL26" s="119">
        <f t="shared" ref="BL26:BL36" si="48">SUM(BJ26:BK26)</f>
        <v>20.591999999999999</v>
      </c>
      <c r="BM26" s="91"/>
      <c r="BN26" s="67"/>
      <c r="BO26" s="159"/>
      <c r="BP26" s="121"/>
      <c r="BQ26" s="110">
        <v>54.530999999999999</v>
      </c>
      <c r="BR26" s="217"/>
      <c r="BS26" s="119">
        <f t="shared" ref="BS26:BS36" si="49">SUM(BQ26:BR26)</f>
        <v>54.530999999999999</v>
      </c>
      <c r="BT26" s="91"/>
      <c r="BU26" s="67"/>
      <c r="BV26" s="159"/>
      <c r="BW26" s="121"/>
      <c r="BX26" s="91"/>
      <c r="BY26" s="217">
        <v>443.53800000000001</v>
      </c>
      <c r="BZ26" s="119">
        <f t="shared" ref="BZ26:BZ36" si="50">SUM(BX26:BY26)</f>
        <v>443.53800000000001</v>
      </c>
      <c r="CA26" s="91"/>
      <c r="CB26" s="67"/>
      <c r="CC26" s="159"/>
      <c r="CD26" s="121"/>
      <c r="CX26" s="40">
        <f t="shared" ref="CX26:CX36" si="51">E26+M26+T26+AA26+AH26+AP26+AX26+BE26+BL26+BS26+BZ26</f>
        <v>6936.7019999999993</v>
      </c>
    </row>
    <row r="27" spans="1:102" x14ac:dyDescent="0.25">
      <c r="A27" s="214" t="s">
        <v>6</v>
      </c>
      <c r="B27" s="63">
        <v>2241.77</v>
      </c>
      <c r="C27" s="64">
        <v>45.911999999999999</v>
      </c>
      <c r="D27" s="64">
        <v>904.48699999999997</v>
      </c>
      <c r="E27" s="69">
        <f t="shared" si="44"/>
        <v>3192.1689999999999</v>
      </c>
      <c r="F27" s="27"/>
      <c r="G27" s="67"/>
      <c r="H27" s="67"/>
      <c r="I27" s="159"/>
      <c r="J27" s="94"/>
      <c r="K27" s="63"/>
      <c r="L27" s="217">
        <v>144.893</v>
      </c>
      <c r="M27" s="69">
        <f t="shared" ref="M27:M36" si="52">SUM(K27:L27)</f>
        <v>144.893</v>
      </c>
      <c r="N27" s="49"/>
      <c r="O27" s="74"/>
      <c r="P27" s="104"/>
      <c r="Q27" s="183"/>
      <c r="R27" s="63"/>
      <c r="S27" s="217">
        <v>0</v>
      </c>
      <c r="T27" s="69">
        <f t="shared" ref="T27:T36" si="53">SUM(R27:S27)</f>
        <v>0</v>
      </c>
      <c r="U27" s="49"/>
      <c r="V27" s="74"/>
      <c r="W27" s="188"/>
      <c r="X27" s="183"/>
      <c r="Y27" s="63"/>
      <c r="Z27" s="217">
        <v>13.39</v>
      </c>
      <c r="AA27" s="69">
        <f t="shared" ref="AA27:AA36" si="54">SUM(Y27:Z27)</f>
        <v>13.39</v>
      </c>
      <c r="AB27" s="49"/>
      <c r="AC27" s="74"/>
      <c r="AD27" s="104"/>
      <c r="AE27" s="183"/>
      <c r="AF27" s="63"/>
      <c r="AG27" s="217">
        <v>105.024</v>
      </c>
      <c r="AH27" s="69">
        <f t="shared" ref="AH27:AH36" si="55">SUM(AF27:AG27)</f>
        <v>105.024</v>
      </c>
      <c r="AI27" s="49"/>
      <c r="AJ27" s="74"/>
      <c r="AK27" s="104"/>
      <c r="AL27" s="183"/>
      <c r="AM27" s="63">
        <v>1943.674</v>
      </c>
      <c r="AN27" s="110">
        <v>1.1519999999999999</v>
      </c>
      <c r="AO27" s="217">
        <v>198.02099999999999</v>
      </c>
      <c r="AP27" s="119">
        <f t="shared" si="45"/>
        <v>2142.8470000000002</v>
      </c>
      <c r="AQ27" s="49"/>
      <c r="AR27" s="74"/>
      <c r="AS27" s="74"/>
      <c r="AT27" s="75"/>
      <c r="AU27" s="154"/>
      <c r="AV27" s="91"/>
      <c r="AW27" s="217">
        <v>95.688999999999993</v>
      </c>
      <c r="AX27" s="119">
        <f t="shared" si="46"/>
        <v>95.688999999999993</v>
      </c>
      <c r="AY27" s="91"/>
      <c r="AZ27" s="67"/>
      <c r="BA27" s="159"/>
      <c r="BB27" s="121"/>
      <c r="BC27" s="91"/>
      <c r="BD27" s="217">
        <v>159.298</v>
      </c>
      <c r="BE27" s="119">
        <f t="shared" si="47"/>
        <v>159.298</v>
      </c>
      <c r="BF27" s="91"/>
      <c r="BG27" s="67"/>
      <c r="BH27" s="159"/>
      <c r="BI27" s="121"/>
      <c r="BJ27" s="91"/>
      <c r="BK27" s="217">
        <v>19.984000000000002</v>
      </c>
      <c r="BL27" s="119">
        <f t="shared" si="48"/>
        <v>19.984000000000002</v>
      </c>
      <c r="BM27" s="91"/>
      <c r="BN27" s="67"/>
      <c r="BO27" s="159"/>
      <c r="BP27" s="121"/>
      <c r="BQ27" s="110">
        <v>34.863</v>
      </c>
      <c r="BR27" s="217"/>
      <c r="BS27" s="119">
        <f t="shared" si="49"/>
        <v>34.863</v>
      </c>
      <c r="BT27" s="91"/>
      <c r="BU27" s="67"/>
      <c r="BV27" s="159"/>
      <c r="BW27" s="121"/>
      <c r="BX27" s="91"/>
      <c r="BY27" s="217">
        <v>324.53100000000001</v>
      </c>
      <c r="BZ27" s="119">
        <f t="shared" si="50"/>
        <v>324.53100000000001</v>
      </c>
      <c r="CA27" s="91"/>
      <c r="CB27" s="67"/>
      <c r="CC27" s="159"/>
      <c r="CD27" s="121"/>
      <c r="CX27" s="40">
        <f t="shared" si="51"/>
        <v>6232.688000000001</v>
      </c>
    </row>
    <row r="28" spans="1:102" x14ac:dyDescent="0.25">
      <c r="A28" s="214" t="s">
        <v>7</v>
      </c>
      <c r="B28" s="63">
        <v>1830.665</v>
      </c>
      <c r="C28" s="64">
        <v>37.14</v>
      </c>
      <c r="D28" s="64">
        <v>1528.6769999999999</v>
      </c>
      <c r="E28" s="69">
        <f t="shared" si="44"/>
        <v>3396.482</v>
      </c>
      <c r="F28" s="27"/>
      <c r="G28" s="67"/>
      <c r="H28" s="67"/>
      <c r="I28" s="159"/>
      <c r="J28" s="94"/>
      <c r="K28" s="63"/>
      <c r="L28" s="217">
        <v>133.88999999999999</v>
      </c>
      <c r="M28" s="69">
        <f t="shared" si="52"/>
        <v>133.88999999999999</v>
      </c>
      <c r="N28" s="49"/>
      <c r="O28" s="74"/>
      <c r="P28" s="104"/>
      <c r="Q28" s="183"/>
      <c r="R28" s="63"/>
      <c r="S28" s="217">
        <v>0</v>
      </c>
      <c r="T28" s="69">
        <f t="shared" si="53"/>
        <v>0</v>
      </c>
      <c r="U28" s="49"/>
      <c r="V28" s="74"/>
      <c r="W28" s="188"/>
      <c r="X28" s="183"/>
      <c r="Y28" s="63"/>
      <c r="Z28" s="217">
        <v>9.6739999999999995</v>
      </c>
      <c r="AA28" s="69">
        <f t="shared" si="54"/>
        <v>9.6739999999999995</v>
      </c>
      <c r="AB28" s="49"/>
      <c r="AC28" s="74"/>
      <c r="AD28" s="104"/>
      <c r="AE28" s="183"/>
      <c r="AF28" s="63"/>
      <c r="AG28" s="217">
        <v>110.11799999999999</v>
      </c>
      <c r="AH28" s="69">
        <f t="shared" si="55"/>
        <v>110.11799999999999</v>
      </c>
      <c r="AI28" s="49"/>
      <c r="AJ28" s="74"/>
      <c r="AK28" s="104"/>
      <c r="AL28" s="183"/>
      <c r="AM28" s="63">
        <v>1729.0640000000001</v>
      </c>
      <c r="AN28" s="110">
        <v>0.996</v>
      </c>
      <c r="AO28" s="217">
        <v>205.66499999999999</v>
      </c>
      <c r="AP28" s="119">
        <f t="shared" si="45"/>
        <v>1935.7250000000001</v>
      </c>
      <c r="AQ28" s="49"/>
      <c r="AR28" s="74"/>
      <c r="AS28" s="74"/>
      <c r="AT28" s="75"/>
      <c r="AU28" s="154"/>
      <c r="AV28" s="91"/>
      <c r="AW28" s="217">
        <v>82.119</v>
      </c>
      <c r="AX28" s="119">
        <f t="shared" si="46"/>
        <v>82.119</v>
      </c>
      <c r="AY28" s="91"/>
      <c r="AZ28" s="67"/>
      <c r="BA28" s="159"/>
      <c r="BB28" s="121"/>
      <c r="BC28" s="91"/>
      <c r="BD28" s="217">
        <v>154.16</v>
      </c>
      <c r="BE28" s="119">
        <f t="shared" si="47"/>
        <v>154.16</v>
      </c>
      <c r="BF28" s="91"/>
      <c r="BG28" s="67"/>
      <c r="BH28" s="159"/>
      <c r="BI28" s="121"/>
      <c r="BJ28" s="91"/>
      <c r="BK28" s="217">
        <v>15.64</v>
      </c>
      <c r="BL28" s="119">
        <f t="shared" si="48"/>
        <v>15.64</v>
      </c>
      <c r="BM28" s="91"/>
      <c r="BN28" s="67"/>
      <c r="BO28" s="159"/>
      <c r="BP28" s="121"/>
      <c r="BQ28" s="110">
        <v>16.63</v>
      </c>
      <c r="BR28" s="217"/>
      <c r="BS28" s="119">
        <f t="shared" si="49"/>
        <v>16.63</v>
      </c>
      <c r="BT28" s="91"/>
      <c r="BU28" s="67"/>
      <c r="BV28" s="159"/>
      <c r="BW28" s="121"/>
      <c r="BX28" s="91"/>
      <c r="BY28" s="217">
        <v>298.27699999999999</v>
      </c>
      <c r="BZ28" s="119">
        <f t="shared" si="50"/>
        <v>298.27699999999999</v>
      </c>
      <c r="CA28" s="91"/>
      <c r="CB28" s="67"/>
      <c r="CC28" s="159"/>
      <c r="CD28" s="121"/>
      <c r="CX28" s="40">
        <f t="shared" si="51"/>
        <v>6152.7150000000001</v>
      </c>
    </row>
    <row r="29" spans="1:102" x14ac:dyDescent="0.25">
      <c r="A29" s="214" t="s">
        <v>12</v>
      </c>
      <c r="B29" s="63">
        <v>1536.365</v>
      </c>
      <c r="C29" s="64">
        <v>35.268000000000001</v>
      </c>
      <c r="D29" s="64">
        <v>921.07100000000003</v>
      </c>
      <c r="E29" s="69">
        <f t="shared" si="44"/>
        <v>2492.7040000000002</v>
      </c>
      <c r="F29" s="27"/>
      <c r="G29" s="67"/>
      <c r="H29" s="67"/>
      <c r="I29" s="159"/>
      <c r="J29" s="94"/>
      <c r="K29" s="63"/>
      <c r="L29" s="217">
        <v>136.86000000000001</v>
      </c>
      <c r="M29" s="69">
        <f t="shared" si="52"/>
        <v>136.86000000000001</v>
      </c>
      <c r="N29" s="49"/>
      <c r="O29" s="74"/>
      <c r="P29" s="104"/>
      <c r="Q29" s="183"/>
      <c r="R29" s="63"/>
      <c r="S29" s="217">
        <v>0</v>
      </c>
      <c r="T29" s="69">
        <f t="shared" si="53"/>
        <v>0</v>
      </c>
      <c r="U29" s="49"/>
      <c r="V29" s="74"/>
      <c r="W29" s="188"/>
      <c r="X29" s="183"/>
      <c r="Y29" s="63"/>
      <c r="Z29" s="217">
        <v>6.665</v>
      </c>
      <c r="AA29" s="69">
        <f t="shared" si="54"/>
        <v>6.665</v>
      </c>
      <c r="AB29" s="49"/>
      <c r="AC29" s="74"/>
      <c r="AD29" s="104"/>
      <c r="AE29" s="183"/>
      <c r="AF29" s="63"/>
      <c r="AG29" s="217">
        <v>99.421000000000006</v>
      </c>
      <c r="AH29" s="69">
        <f t="shared" si="55"/>
        <v>99.421000000000006</v>
      </c>
      <c r="AI29" s="49"/>
      <c r="AJ29" s="74"/>
      <c r="AK29" s="104"/>
      <c r="AL29" s="183"/>
      <c r="AM29" s="63">
        <v>1429.45</v>
      </c>
      <c r="AN29" s="110">
        <v>1.02</v>
      </c>
      <c r="AO29" s="217">
        <v>280.80599999999998</v>
      </c>
      <c r="AP29" s="119">
        <f t="shared" si="45"/>
        <v>1711.2760000000001</v>
      </c>
      <c r="AQ29" s="49"/>
      <c r="AR29" s="74"/>
      <c r="AS29" s="74"/>
      <c r="AT29" s="75"/>
      <c r="AU29" s="154"/>
      <c r="AV29" s="91"/>
      <c r="AW29" s="217">
        <v>69.736000000000004</v>
      </c>
      <c r="AX29" s="119">
        <f t="shared" si="46"/>
        <v>69.736000000000004</v>
      </c>
      <c r="AY29" s="91"/>
      <c r="AZ29" s="67"/>
      <c r="BA29" s="159"/>
      <c r="BB29" s="121"/>
      <c r="BC29" s="91"/>
      <c r="BD29" s="217">
        <v>155.84</v>
      </c>
      <c r="BE29" s="119">
        <f t="shared" si="47"/>
        <v>155.84</v>
      </c>
      <c r="BF29" s="91"/>
      <c r="BG29" s="67"/>
      <c r="BH29" s="159"/>
      <c r="BI29" s="121"/>
      <c r="BJ29" s="91"/>
      <c r="BK29" s="217">
        <v>15.64</v>
      </c>
      <c r="BL29" s="119">
        <f t="shared" si="48"/>
        <v>15.64</v>
      </c>
      <c r="BM29" s="91"/>
      <c r="BN29" s="67"/>
      <c r="BO29" s="159"/>
      <c r="BP29" s="121"/>
      <c r="BQ29" s="91">
        <v>0</v>
      </c>
      <c r="BR29" s="217"/>
      <c r="BS29" s="119">
        <f t="shared" si="49"/>
        <v>0</v>
      </c>
      <c r="BT29" s="91"/>
      <c r="BU29" s="67"/>
      <c r="BV29" s="159"/>
      <c r="BW29" s="121"/>
      <c r="BX29" s="91"/>
      <c r="BY29" s="217">
        <v>286.55200000000002</v>
      </c>
      <c r="BZ29" s="119">
        <f t="shared" si="50"/>
        <v>286.55200000000002</v>
      </c>
      <c r="CA29" s="91"/>
      <c r="CB29" s="67"/>
      <c r="CC29" s="159"/>
      <c r="CD29" s="121"/>
      <c r="CX29" s="40">
        <f t="shared" si="51"/>
        <v>4974.6940000000004</v>
      </c>
    </row>
    <row r="30" spans="1:102" ht="14.25" customHeight="1" x14ac:dyDescent="0.25">
      <c r="A30" s="214" t="s">
        <v>13</v>
      </c>
      <c r="B30" s="63">
        <v>1245.94</v>
      </c>
      <c r="C30" s="64">
        <v>29.064</v>
      </c>
      <c r="D30" s="64">
        <v>739.22</v>
      </c>
      <c r="E30" s="69">
        <f t="shared" si="44"/>
        <v>2014.2240000000002</v>
      </c>
      <c r="F30" s="27"/>
      <c r="G30" s="67"/>
      <c r="H30" s="67"/>
      <c r="I30" s="159"/>
      <c r="J30" s="94"/>
      <c r="K30" s="63"/>
      <c r="L30" s="217">
        <v>145.62</v>
      </c>
      <c r="M30" s="69">
        <f t="shared" si="52"/>
        <v>145.62</v>
      </c>
      <c r="N30" s="49"/>
      <c r="O30" s="74"/>
      <c r="P30" s="104"/>
      <c r="Q30" s="183"/>
      <c r="R30" s="63"/>
      <c r="S30" s="217">
        <v>0</v>
      </c>
      <c r="T30" s="69">
        <f t="shared" si="53"/>
        <v>0</v>
      </c>
      <c r="U30" s="49"/>
      <c r="V30" s="74"/>
      <c r="W30" s="188"/>
      <c r="X30" s="183"/>
      <c r="Y30" s="63"/>
      <c r="Z30" s="217">
        <v>4.9009999999999998</v>
      </c>
      <c r="AA30" s="69">
        <f t="shared" si="54"/>
        <v>4.9009999999999998</v>
      </c>
      <c r="AB30" s="49"/>
      <c r="AC30" s="74"/>
      <c r="AD30" s="104"/>
      <c r="AE30" s="183"/>
      <c r="AF30" s="63"/>
      <c r="AG30" s="217">
        <v>85.263999999999996</v>
      </c>
      <c r="AH30" s="69">
        <f t="shared" si="55"/>
        <v>85.263999999999996</v>
      </c>
      <c r="AI30" s="49"/>
      <c r="AJ30" s="74"/>
      <c r="AK30" s="104"/>
      <c r="AL30" s="183"/>
      <c r="AM30" s="63">
        <v>1265.5920000000001</v>
      </c>
      <c r="AN30" s="110">
        <v>1.1519999999999999</v>
      </c>
      <c r="AO30" s="217">
        <v>295.49799999999999</v>
      </c>
      <c r="AP30" s="119">
        <f t="shared" si="45"/>
        <v>1562.2420000000002</v>
      </c>
      <c r="AQ30" s="49"/>
      <c r="AR30" s="74"/>
      <c r="AS30" s="74"/>
      <c r="AT30" s="75"/>
      <c r="AU30" s="154"/>
      <c r="AV30" s="91"/>
      <c r="AW30" s="217">
        <v>58.548999999999999</v>
      </c>
      <c r="AX30" s="119">
        <f t="shared" si="46"/>
        <v>58.548999999999999</v>
      </c>
      <c r="AY30" s="91"/>
      <c r="AZ30" s="67"/>
      <c r="BA30" s="159"/>
      <c r="BB30" s="121"/>
      <c r="BC30" s="91"/>
      <c r="BD30" s="217">
        <v>161.6</v>
      </c>
      <c r="BE30" s="119">
        <f t="shared" si="47"/>
        <v>161.6</v>
      </c>
      <c r="BF30" s="91"/>
      <c r="BG30" s="67"/>
      <c r="BH30" s="159"/>
      <c r="BI30" s="121"/>
      <c r="BJ30" s="91"/>
      <c r="BK30" s="217">
        <v>14.68</v>
      </c>
      <c r="BL30" s="119">
        <f t="shared" si="48"/>
        <v>14.68</v>
      </c>
      <c r="BM30" s="91"/>
      <c r="BN30" s="67"/>
      <c r="BO30" s="159"/>
      <c r="BP30" s="121"/>
      <c r="BQ30" s="91">
        <v>0</v>
      </c>
      <c r="BR30" s="217"/>
      <c r="BS30" s="119">
        <f t="shared" si="49"/>
        <v>0</v>
      </c>
      <c r="BT30" s="91"/>
      <c r="BU30" s="67"/>
      <c r="BV30" s="159"/>
      <c r="BW30" s="121"/>
      <c r="BX30" s="91"/>
      <c r="BY30" s="217">
        <v>334.45400000000001</v>
      </c>
      <c r="BZ30" s="119">
        <f t="shared" si="50"/>
        <v>334.45400000000001</v>
      </c>
      <c r="CA30" s="91"/>
      <c r="CB30" s="67"/>
      <c r="CC30" s="159"/>
      <c r="CD30" s="121"/>
      <c r="CX30" s="40">
        <f t="shared" si="51"/>
        <v>4381.5339999999997</v>
      </c>
    </row>
    <row r="31" spans="1:102" x14ac:dyDescent="0.25">
      <c r="A31" s="214" t="s">
        <v>14</v>
      </c>
      <c r="B31" s="63">
        <v>997.18499999999995</v>
      </c>
      <c r="C31" s="64">
        <v>22.091999999999999</v>
      </c>
      <c r="D31" s="64">
        <v>777.64800000000002</v>
      </c>
      <c r="E31" s="69">
        <f t="shared" si="44"/>
        <v>1796.925</v>
      </c>
      <c r="F31" s="27"/>
      <c r="G31" s="67"/>
      <c r="H31" s="67"/>
      <c r="I31" s="159"/>
      <c r="J31" s="94"/>
      <c r="K31" s="63"/>
      <c r="L31" s="217">
        <v>169.44</v>
      </c>
      <c r="M31" s="69">
        <f t="shared" si="52"/>
        <v>169.44</v>
      </c>
      <c r="N31" s="49"/>
      <c r="O31" s="188"/>
      <c r="P31" s="104"/>
      <c r="Q31" s="183"/>
      <c r="R31" s="63"/>
      <c r="S31" s="217">
        <v>0</v>
      </c>
      <c r="T31" s="69">
        <f t="shared" si="53"/>
        <v>0</v>
      </c>
      <c r="U31" s="49"/>
      <c r="V31" s="188"/>
      <c r="W31" s="188"/>
      <c r="X31" s="183"/>
      <c r="Y31" s="63"/>
      <c r="Z31" s="217">
        <v>4.5960000000000001</v>
      </c>
      <c r="AA31" s="69">
        <f t="shared" si="54"/>
        <v>4.5960000000000001</v>
      </c>
      <c r="AB31" s="49"/>
      <c r="AC31" s="188"/>
      <c r="AD31" s="104"/>
      <c r="AE31" s="183"/>
      <c r="AF31" s="63"/>
      <c r="AG31" s="217">
        <v>95.010999999999996</v>
      </c>
      <c r="AH31" s="69">
        <f t="shared" si="55"/>
        <v>95.010999999999996</v>
      </c>
      <c r="AI31" s="49"/>
      <c r="AJ31" s="188"/>
      <c r="AK31" s="104"/>
      <c r="AL31" s="183"/>
      <c r="AM31" s="63">
        <v>1473.126</v>
      </c>
      <c r="AN31" s="110">
        <v>1.1759999999999999</v>
      </c>
      <c r="AO31" s="217">
        <v>296.11900000000003</v>
      </c>
      <c r="AP31" s="119">
        <f t="shared" si="45"/>
        <v>1770.4209999999998</v>
      </c>
      <c r="AQ31" s="27"/>
      <c r="AR31" s="67"/>
      <c r="AS31" s="67"/>
      <c r="AT31" s="75"/>
      <c r="AU31" s="154"/>
      <c r="AV31" s="91"/>
      <c r="AW31" s="217">
        <v>56.887</v>
      </c>
      <c r="AX31" s="119">
        <f t="shared" si="46"/>
        <v>56.887</v>
      </c>
      <c r="AY31" s="91"/>
      <c r="AZ31" s="67"/>
      <c r="BA31" s="159"/>
      <c r="BB31" s="121"/>
      <c r="BC31" s="91"/>
      <c r="BD31" s="217">
        <v>187.68</v>
      </c>
      <c r="BE31" s="119">
        <f t="shared" si="47"/>
        <v>187.68</v>
      </c>
      <c r="BF31" s="91"/>
      <c r="BG31" s="67"/>
      <c r="BH31" s="159"/>
      <c r="BI31" s="121"/>
      <c r="BJ31" s="91"/>
      <c r="BK31" s="217">
        <v>14.22</v>
      </c>
      <c r="BL31" s="119">
        <f t="shared" si="48"/>
        <v>14.22</v>
      </c>
      <c r="BM31" s="91"/>
      <c r="BN31" s="67"/>
      <c r="BO31" s="159"/>
      <c r="BP31" s="121"/>
      <c r="BQ31" s="91">
        <v>0</v>
      </c>
      <c r="BR31" s="217"/>
      <c r="BS31" s="119">
        <f t="shared" si="49"/>
        <v>0</v>
      </c>
      <c r="BT31" s="91"/>
      <c r="BU31" s="67"/>
      <c r="BV31" s="159"/>
      <c r="BW31" s="121"/>
      <c r="BX31" s="91"/>
      <c r="BY31" s="217">
        <v>369.08300000000003</v>
      </c>
      <c r="BZ31" s="119">
        <f t="shared" si="50"/>
        <v>369.08300000000003</v>
      </c>
      <c r="CA31" s="91"/>
      <c r="CB31" s="67"/>
      <c r="CC31" s="159"/>
      <c r="CD31" s="121"/>
      <c r="CX31" s="40">
        <f t="shared" si="51"/>
        <v>4464.2629999999999</v>
      </c>
    </row>
    <row r="32" spans="1:102" x14ac:dyDescent="0.25">
      <c r="A32" s="214" t="s">
        <v>15</v>
      </c>
      <c r="B32" s="63">
        <v>943.48500000000001</v>
      </c>
      <c r="C32" s="64">
        <v>23.303999999999998</v>
      </c>
      <c r="D32" s="64">
        <v>913.899</v>
      </c>
      <c r="E32" s="69">
        <f t="shared" si="44"/>
        <v>1880.6880000000001</v>
      </c>
      <c r="F32" s="27"/>
      <c r="G32" s="67"/>
      <c r="H32" s="67"/>
      <c r="I32" s="159"/>
      <c r="J32" s="94"/>
      <c r="K32" s="63"/>
      <c r="L32" s="217">
        <v>149.22</v>
      </c>
      <c r="M32" s="69">
        <f t="shared" si="52"/>
        <v>149.22</v>
      </c>
      <c r="N32" s="49"/>
      <c r="O32" s="74"/>
      <c r="P32" s="104"/>
      <c r="Q32" s="183"/>
      <c r="R32" s="63"/>
      <c r="S32" s="217">
        <v>2.58</v>
      </c>
      <c r="T32" s="69">
        <f t="shared" si="53"/>
        <v>2.58</v>
      </c>
      <c r="U32" s="49"/>
      <c r="V32" s="74"/>
      <c r="W32" s="188"/>
      <c r="X32" s="183"/>
      <c r="Y32" s="63"/>
      <c r="Z32" s="217">
        <v>5.266</v>
      </c>
      <c r="AA32" s="69">
        <f t="shared" si="54"/>
        <v>5.266</v>
      </c>
      <c r="AB32" s="49"/>
      <c r="AC32" s="74"/>
      <c r="AD32" s="104"/>
      <c r="AE32" s="183"/>
      <c r="AF32" s="63"/>
      <c r="AG32" s="217">
        <v>88.034000000000006</v>
      </c>
      <c r="AH32" s="69">
        <f t="shared" si="55"/>
        <v>88.034000000000006</v>
      </c>
      <c r="AI32" s="49"/>
      <c r="AJ32" s="74"/>
      <c r="AK32" s="104"/>
      <c r="AL32" s="183"/>
      <c r="AM32" s="71">
        <v>1499.6859999999999</v>
      </c>
      <c r="AN32" s="111">
        <v>1.248</v>
      </c>
      <c r="AO32" s="169">
        <v>291.22399999999999</v>
      </c>
      <c r="AP32" s="119">
        <f t="shared" si="45"/>
        <v>1792.1579999999999</v>
      </c>
      <c r="AQ32" s="49"/>
      <c r="AR32" s="74"/>
      <c r="AS32" s="74"/>
      <c r="AT32" s="75"/>
      <c r="AU32" s="154"/>
      <c r="AV32" s="93"/>
      <c r="AW32" s="169">
        <v>58.039000000000001</v>
      </c>
      <c r="AX32" s="119">
        <f t="shared" si="46"/>
        <v>58.039000000000001</v>
      </c>
      <c r="AY32" s="93"/>
      <c r="AZ32" s="74"/>
      <c r="BA32" s="160"/>
      <c r="BB32" s="154"/>
      <c r="BC32" s="93"/>
      <c r="BD32" s="169">
        <v>180.4</v>
      </c>
      <c r="BE32" s="119">
        <f t="shared" si="47"/>
        <v>180.4</v>
      </c>
      <c r="BF32" s="93"/>
      <c r="BG32" s="74"/>
      <c r="BH32" s="160"/>
      <c r="BI32" s="154"/>
      <c r="BJ32" s="93"/>
      <c r="BK32" s="169">
        <v>14.4</v>
      </c>
      <c r="BL32" s="119">
        <f t="shared" si="48"/>
        <v>14.4</v>
      </c>
      <c r="BM32" s="93"/>
      <c r="BN32" s="74"/>
      <c r="BO32" s="160"/>
      <c r="BP32" s="154"/>
      <c r="BQ32" s="93">
        <v>0</v>
      </c>
      <c r="BR32" s="169"/>
      <c r="BS32" s="119">
        <f t="shared" si="49"/>
        <v>0</v>
      </c>
      <c r="BT32" s="93"/>
      <c r="BU32" s="74"/>
      <c r="BV32" s="160"/>
      <c r="BW32" s="154"/>
      <c r="BX32" s="93"/>
      <c r="BY32" s="169">
        <v>348.54599999999999</v>
      </c>
      <c r="BZ32" s="119">
        <f t="shared" si="50"/>
        <v>348.54599999999999</v>
      </c>
      <c r="CA32" s="93"/>
      <c r="CB32" s="74"/>
      <c r="CC32" s="160"/>
      <c r="CD32" s="154"/>
      <c r="CX32" s="40">
        <f t="shared" si="51"/>
        <v>4519.3310000000001</v>
      </c>
    </row>
    <row r="33" spans="1:102" x14ac:dyDescent="0.25">
      <c r="A33" s="214" t="s">
        <v>16</v>
      </c>
      <c r="B33" s="63">
        <v>1454.58</v>
      </c>
      <c r="C33" s="64">
        <v>37.103999999999999</v>
      </c>
      <c r="D33" s="64">
        <v>995.04300000000001</v>
      </c>
      <c r="E33" s="69">
        <f t="shared" si="44"/>
        <v>2486.7269999999999</v>
      </c>
      <c r="F33" s="27"/>
      <c r="G33" s="67"/>
      <c r="H33" s="67"/>
      <c r="I33" s="159"/>
      <c r="J33" s="94"/>
      <c r="K33" s="71"/>
      <c r="L33" s="169">
        <v>133.94999999999999</v>
      </c>
      <c r="M33" s="69">
        <f t="shared" si="52"/>
        <v>133.94999999999999</v>
      </c>
      <c r="N33" s="49"/>
      <c r="O33" s="74"/>
      <c r="P33" s="104"/>
      <c r="Q33" s="183"/>
      <c r="R33" s="71"/>
      <c r="S33" s="169">
        <v>687.2</v>
      </c>
      <c r="T33" s="69">
        <f>SUM(R33:S33)</f>
        <v>687.2</v>
      </c>
      <c r="U33" s="49"/>
      <c r="V33" s="74"/>
      <c r="W33" s="188"/>
      <c r="X33" s="183"/>
      <c r="Y33" s="71"/>
      <c r="Z33" s="169">
        <v>6.8949999999999996</v>
      </c>
      <c r="AA33" s="69">
        <f t="shared" si="54"/>
        <v>6.8949999999999996</v>
      </c>
      <c r="AB33" s="49"/>
      <c r="AC33" s="74"/>
      <c r="AD33" s="104"/>
      <c r="AE33" s="183"/>
      <c r="AF33" s="71"/>
      <c r="AG33" s="169">
        <v>102.71899999999999</v>
      </c>
      <c r="AH33" s="69">
        <f t="shared" si="55"/>
        <v>102.71899999999999</v>
      </c>
      <c r="AI33" s="49"/>
      <c r="AJ33" s="74"/>
      <c r="AK33" s="104"/>
      <c r="AL33" s="183"/>
      <c r="AM33" s="63">
        <v>1546.4839999999999</v>
      </c>
      <c r="AN33" s="110">
        <v>1.3740000000000001</v>
      </c>
      <c r="AO33" s="217">
        <v>277.02800000000002</v>
      </c>
      <c r="AP33" s="119">
        <f t="shared" si="45"/>
        <v>1824.886</v>
      </c>
      <c r="AQ33" s="49"/>
      <c r="AR33" s="74"/>
      <c r="AS33" s="74"/>
      <c r="AT33" s="75"/>
      <c r="AU33" s="154"/>
      <c r="AV33" s="91"/>
      <c r="AW33" s="217">
        <v>64.858000000000004</v>
      </c>
      <c r="AX33" s="119">
        <f t="shared" si="46"/>
        <v>64.858000000000004</v>
      </c>
      <c r="AY33" s="91"/>
      <c r="AZ33" s="67"/>
      <c r="BA33" s="159"/>
      <c r="BB33" s="121"/>
      <c r="BC33" s="91"/>
      <c r="BD33" s="217">
        <v>163.44</v>
      </c>
      <c r="BE33" s="119">
        <f t="shared" si="47"/>
        <v>163.44</v>
      </c>
      <c r="BF33" s="91"/>
      <c r="BG33" s="67"/>
      <c r="BH33" s="159"/>
      <c r="BI33" s="121"/>
      <c r="BJ33" s="91"/>
      <c r="BK33" s="217">
        <v>15.68</v>
      </c>
      <c r="BL33" s="119">
        <f t="shared" si="48"/>
        <v>15.68</v>
      </c>
      <c r="BM33" s="91"/>
      <c r="BN33" s="67"/>
      <c r="BO33" s="159"/>
      <c r="BP33" s="121"/>
      <c r="BQ33" s="91">
        <v>0</v>
      </c>
      <c r="BR33" s="217"/>
      <c r="BS33" s="119">
        <f t="shared" si="49"/>
        <v>0</v>
      </c>
      <c r="BT33" s="91"/>
      <c r="BU33" s="67"/>
      <c r="BV33" s="159"/>
      <c r="BW33" s="121"/>
      <c r="BX33" s="91"/>
      <c r="BY33" s="217">
        <v>310.14999999999998</v>
      </c>
      <c r="BZ33" s="119">
        <f t="shared" si="50"/>
        <v>310.14999999999998</v>
      </c>
      <c r="CA33" s="91"/>
      <c r="CB33" s="67"/>
      <c r="CC33" s="159"/>
      <c r="CD33" s="121"/>
      <c r="CX33" s="40">
        <f t="shared" si="51"/>
        <v>5796.5049999999992</v>
      </c>
    </row>
    <row r="34" spans="1:102" x14ac:dyDescent="0.25">
      <c r="A34" s="214" t="s">
        <v>17</v>
      </c>
      <c r="B34" s="63">
        <v>1596.335</v>
      </c>
      <c r="C34" s="64">
        <v>37.896000000000001</v>
      </c>
      <c r="D34" s="64">
        <v>1069.25</v>
      </c>
      <c r="E34" s="69">
        <f t="shared" si="44"/>
        <v>2703.4809999999998</v>
      </c>
      <c r="F34" s="27"/>
      <c r="G34" s="67"/>
      <c r="H34" s="67"/>
      <c r="I34" s="159"/>
      <c r="J34" s="94"/>
      <c r="K34" s="63"/>
      <c r="L34" s="217">
        <v>140.69999999999999</v>
      </c>
      <c r="M34" s="69">
        <f t="shared" si="52"/>
        <v>140.69999999999999</v>
      </c>
      <c r="N34" s="197"/>
      <c r="O34" s="221"/>
      <c r="P34" s="104"/>
      <c r="Q34" s="183"/>
      <c r="R34" s="63"/>
      <c r="S34" s="297">
        <v>749</v>
      </c>
      <c r="T34" s="298">
        <f t="shared" si="53"/>
        <v>749</v>
      </c>
      <c r="U34" s="197"/>
      <c r="V34" s="221"/>
      <c r="W34" s="188"/>
      <c r="X34" s="183"/>
      <c r="Y34" s="63"/>
      <c r="Z34" s="297">
        <v>7.08</v>
      </c>
      <c r="AA34" s="298">
        <f t="shared" si="54"/>
        <v>7.08</v>
      </c>
      <c r="AB34" s="197"/>
      <c r="AC34" s="221"/>
      <c r="AD34" s="104"/>
      <c r="AE34" s="183"/>
      <c r="AF34" s="63"/>
      <c r="AG34" s="297">
        <v>107.15300000000001</v>
      </c>
      <c r="AH34" s="298">
        <f t="shared" si="55"/>
        <v>107.15300000000001</v>
      </c>
      <c r="AI34" s="197"/>
      <c r="AJ34" s="221"/>
      <c r="AK34" s="104"/>
      <c r="AL34" s="183"/>
      <c r="AM34" s="63">
        <v>1907.944</v>
      </c>
      <c r="AN34" s="110">
        <v>1.296</v>
      </c>
      <c r="AO34" s="217">
        <v>216.899</v>
      </c>
      <c r="AP34" s="119">
        <f>SUM(AM34:AO34)</f>
        <v>2126.1390000000001</v>
      </c>
      <c r="AQ34" s="27"/>
      <c r="AR34" s="67"/>
      <c r="AS34" s="67"/>
      <c r="AT34" s="75"/>
      <c r="AU34" s="154"/>
      <c r="AV34" s="91"/>
      <c r="AW34" s="217">
        <v>76.260999999999996</v>
      </c>
      <c r="AX34" s="119">
        <f t="shared" si="46"/>
        <v>76.260999999999996</v>
      </c>
      <c r="AY34" s="91"/>
      <c r="AZ34" s="67"/>
      <c r="BA34" s="159"/>
      <c r="BB34" s="121"/>
      <c r="BC34" s="91"/>
      <c r="BD34" s="217">
        <v>172</v>
      </c>
      <c r="BE34" s="119">
        <f t="shared" si="47"/>
        <v>172</v>
      </c>
      <c r="BF34" s="91"/>
      <c r="BG34" s="67"/>
      <c r="BH34" s="159"/>
      <c r="BI34" s="121"/>
      <c r="BJ34" s="91"/>
      <c r="BK34" s="217">
        <v>19.399999999999999</v>
      </c>
      <c r="BL34" s="119">
        <f t="shared" si="48"/>
        <v>19.399999999999999</v>
      </c>
      <c r="BM34" s="91"/>
      <c r="BN34" s="67"/>
      <c r="BO34" s="159"/>
      <c r="BP34" s="121"/>
      <c r="BQ34" s="91">
        <v>0</v>
      </c>
      <c r="BR34" s="217"/>
      <c r="BS34" s="119">
        <f t="shared" si="49"/>
        <v>0</v>
      </c>
      <c r="BT34" s="91"/>
      <c r="BU34" s="67"/>
      <c r="BV34" s="159"/>
      <c r="BW34" s="121"/>
      <c r="BX34" s="91"/>
      <c r="BY34" s="217">
        <v>368.97800000000001</v>
      </c>
      <c r="BZ34" s="119">
        <f t="shared" si="50"/>
        <v>368.97800000000001</v>
      </c>
      <c r="CA34" s="91"/>
      <c r="CB34" s="67"/>
      <c r="CC34" s="159"/>
      <c r="CD34" s="121"/>
      <c r="CX34" s="40">
        <f t="shared" si="51"/>
        <v>6470.192</v>
      </c>
    </row>
    <row r="35" spans="1:102" x14ac:dyDescent="0.25">
      <c r="A35" s="214" t="s">
        <v>18</v>
      </c>
      <c r="B35" s="63">
        <v>2075.4499999999998</v>
      </c>
      <c r="C35" s="101">
        <v>44.46</v>
      </c>
      <c r="D35" s="101">
        <v>990.995</v>
      </c>
      <c r="E35" s="69">
        <f t="shared" si="44"/>
        <v>3110.9049999999997</v>
      </c>
      <c r="F35" s="27"/>
      <c r="G35" s="67"/>
      <c r="H35" s="67"/>
      <c r="I35" s="159"/>
      <c r="J35" s="94"/>
      <c r="K35" s="71"/>
      <c r="L35" s="218">
        <v>143.88</v>
      </c>
      <c r="M35" s="69">
        <f t="shared" si="52"/>
        <v>143.88</v>
      </c>
      <c r="N35" s="49"/>
      <c r="O35" s="104"/>
      <c r="P35" s="104"/>
      <c r="Q35" s="183"/>
      <c r="R35" s="71"/>
      <c r="S35" s="297">
        <v>769.6</v>
      </c>
      <c r="T35" s="298">
        <f t="shared" si="53"/>
        <v>769.6</v>
      </c>
      <c r="U35" s="49"/>
      <c r="V35" s="104"/>
      <c r="W35" s="188"/>
      <c r="X35" s="183"/>
      <c r="Y35" s="71"/>
      <c r="Z35" s="297">
        <v>5.9829999999999997</v>
      </c>
      <c r="AA35" s="298">
        <f>SUM(Y35:Z35)</f>
        <v>5.9829999999999997</v>
      </c>
      <c r="AB35" s="49"/>
      <c r="AC35" s="104"/>
      <c r="AD35" s="104"/>
      <c r="AE35" s="183"/>
      <c r="AF35" s="71"/>
      <c r="AG35" s="297">
        <v>110.15300000000001</v>
      </c>
      <c r="AH35" s="298">
        <f t="shared" si="55"/>
        <v>110.15300000000001</v>
      </c>
      <c r="AI35" s="49"/>
      <c r="AJ35" s="104"/>
      <c r="AK35" s="104"/>
      <c r="AL35" s="183"/>
      <c r="AM35" s="63">
        <v>1729.5820000000001</v>
      </c>
      <c r="AN35" s="136">
        <v>1.3859999999999999</v>
      </c>
      <c r="AO35" s="219">
        <v>195.77500000000001</v>
      </c>
      <c r="AP35" s="119">
        <f t="shared" si="45"/>
        <v>1926.7430000000002</v>
      </c>
      <c r="AQ35" s="27"/>
      <c r="AR35" s="103"/>
      <c r="AS35" s="103"/>
      <c r="AT35" s="75"/>
      <c r="AU35" s="154"/>
      <c r="AV35" s="91"/>
      <c r="AW35" s="219">
        <v>84.813000000000002</v>
      </c>
      <c r="AX35" s="119">
        <f t="shared" si="46"/>
        <v>84.813000000000002</v>
      </c>
      <c r="AY35" s="91"/>
      <c r="AZ35" s="103"/>
      <c r="BA35" s="161"/>
      <c r="BB35" s="155"/>
      <c r="BC35" s="91"/>
      <c r="BD35" s="219">
        <v>170.4</v>
      </c>
      <c r="BE35" s="119">
        <f t="shared" si="47"/>
        <v>170.4</v>
      </c>
      <c r="BF35" s="91"/>
      <c r="BG35" s="103"/>
      <c r="BH35" s="161"/>
      <c r="BI35" s="155"/>
      <c r="BJ35" s="91"/>
      <c r="BK35" s="219">
        <v>19.72</v>
      </c>
      <c r="BL35" s="119">
        <f t="shared" si="48"/>
        <v>19.72</v>
      </c>
      <c r="BM35" s="91"/>
      <c r="BN35" s="103"/>
      <c r="BO35" s="161"/>
      <c r="BP35" s="155"/>
      <c r="BQ35" s="91">
        <v>0</v>
      </c>
      <c r="BR35" s="219"/>
      <c r="BS35" s="119">
        <f t="shared" si="49"/>
        <v>0</v>
      </c>
      <c r="BT35" s="91"/>
      <c r="BU35" s="103"/>
      <c r="BV35" s="161"/>
      <c r="BW35" s="155"/>
      <c r="BX35" s="91"/>
      <c r="BY35" s="219">
        <v>351.97899999999998</v>
      </c>
      <c r="BZ35" s="119">
        <f t="shared" si="50"/>
        <v>351.97899999999998</v>
      </c>
      <c r="CA35" s="91"/>
      <c r="CB35" s="103"/>
      <c r="CC35" s="161"/>
      <c r="CD35" s="155"/>
      <c r="CX35" s="40">
        <f t="shared" si="51"/>
        <v>6694.1760000000004</v>
      </c>
    </row>
    <row r="36" spans="1:102" ht="15.75" thickBot="1" x14ac:dyDescent="0.3">
      <c r="A36" s="215" t="s">
        <v>19</v>
      </c>
      <c r="B36" s="319">
        <v>2388.5650000000001</v>
      </c>
      <c r="C36" s="318">
        <v>48.3</v>
      </c>
      <c r="D36" s="318">
        <v>1255.798</v>
      </c>
      <c r="E36" s="69">
        <f>SUM(B36:D36)</f>
        <v>3692.6630000000005</v>
      </c>
      <c r="F36" s="28"/>
      <c r="G36" s="103"/>
      <c r="H36" s="103"/>
      <c r="I36" s="161"/>
      <c r="J36" s="212"/>
      <c r="K36" s="198"/>
      <c r="L36" s="219">
        <v>161.49</v>
      </c>
      <c r="M36" s="69">
        <f t="shared" si="52"/>
        <v>161.49</v>
      </c>
      <c r="N36" s="220"/>
      <c r="O36" s="115"/>
      <c r="P36" s="104"/>
      <c r="Q36" s="183"/>
      <c r="R36" s="198"/>
      <c r="S36" s="219">
        <v>829.52</v>
      </c>
      <c r="T36" s="69">
        <f t="shared" si="53"/>
        <v>829.52</v>
      </c>
      <c r="U36" s="220"/>
      <c r="V36" s="115"/>
      <c r="W36" s="188"/>
      <c r="X36" s="183"/>
      <c r="Y36" s="198"/>
      <c r="Z36" s="219">
        <v>8.3949999999999996</v>
      </c>
      <c r="AA36" s="69">
        <f t="shared" si="54"/>
        <v>8.3949999999999996</v>
      </c>
      <c r="AB36" s="220"/>
      <c r="AC36" s="115"/>
      <c r="AD36" s="104"/>
      <c r="AE36" s="183"/>
      <c r="AF36" s="198"/>
      <c r="AG36" s="219">
        <v>114.337</v>
      </c>
      <c r="AH36" s="69">
        <f t="shared" si="55"/>
        <v>114.337</v>
      </c>
      <c r="AI36" s="220"/>
      <c r="AJ36" s="115"/>
      <c r="AK36" s="104"/>
      <c r="AL36" s="183"/>
      <c r="AM36" s="320">
        <v>2039.93</v>
      </c>
      <c r="AN36" s="322">
        <v>1.3919999999999999</v>
      </c>
      <c r="AO36" s="321">
        <v>218.16800000000001</v>
      </c>
      <c r="AP36" s="119">
        <f>SUM(AM36:AO36)</f>
        <v>2259.4900000000002</v>
      </c>
      <c r="AQ36" s="28"/>
      <c r="AR36" s="103"/>
      <c r="AS36" s="103"/>
      <c r="AT36" s="75"/>
      <c r="AU36" s="154"/>
      <c r="AV36" s="97"/>
      <c r="AW36" s="225">
        <v>98.259</v>
      </c>
      <c r="AX36" s="119">
        <f t="shared" si="46"/>
        <v>98.259</v>
      </c>
      <c r="AY36" s="132"/>
      <c r="AZ36" s="103"/>
      <c r="BA36" s="161"/>
      <c r="BB36" s="155"/>
      <c r="BC36" s="97"/>
      <c r="BD36" s="225">
        <v>189.36</v>
      </c>
      <c r="BE36" s="119">
        <f t="shared" si="47"/>
        <v>189.36</v>
      </c>
      <c r="BF36" s="132"/>
      <c r="BG36" s="103"/>
      <c r="BH36" s="161"/>
      <c r="BI36" s="155"/>
      <c r="BJ36" s="97"/>
      <c r="BK36" s="225">
        <v>20.96</v>
      </c>
      <c r="BL36" s="119">
        <f t="shared" si="48"/>
        <v>20.96</v>
      </c>
      <c r="BM36" s="132"/>
      <c r="BN36" s="103"/>
      <c r="BO36" s="161"/>
      <c r="BP36" s="155"/>
      <c r="BQ36" s="97">
        <v>0</v>
      </c>
      <c r="BR36" s="225"/>
      <c r="BS36" s="119">
        <f t="shared" si="49"/>
        <v>0</v>
      </c>
      <c r="BT36" s="132"/>
      <c r="BU36" s="103"/>
      <c r="BV36" s="161"/>
      <c r="BW36" s="155"/>
      <c r="BX36" s="97"/>
      <c r="BY36" s="225">
        <v>410.21100000000001</v>
      </c>
      <c r="BZ36" s="119">
        <f t="shared" si="50"/>
        <v>410.21100000000001</v>
      </c>
      <c r="CA36" s="132"/>
      <c r="CB36" s="103"/>
      <c r="CC36" s="161"/>
      <c r="CD36" s="155"/>
      <c r="CX36" s="40">
        <f t="shared" si="51"/>
        <v>7784.6850000000022</v>
      </c>
    </row>
    <row r="37" spans="1:102" ht="15.75" thickBot="1" x14ac:dyDescent="0.3">
      <c r="A37" s="213" t="s">
        <v>11</v>
      </c>
      <c r="B37" s="178">
        <f t="shared" ref="B37:H37" si="56">SUM(B25:B36)</f>
        <v>21855.46</v>
      </c>
      <c r="C37" s="107">
        <f t="shared" si="56"/>
        <v>462.74399999999997</v>
      </c>
      <c r="D37" s="107">
        <f t="shared" si="56"/>
        <v>12274.721000000001</v>
      </c>
      <c r="E37" s="180">
        <f t="shared" si="56"/>
        <v>34592.924999999996</v>
      </c>
      <c r="F37" s="84">
        <f t="shared" si="56"/>
        <v>0</v>
      </c>
      <c r="G37" s="108">
        <f t="shared" si="56"/>
        <v>0</v>
      </c>
      <c r="H37" s="108">
        <f t="shared" si="56"/>
        <v>0</v>
      </c>
      <c r="I37" s="108">
        <f t="shared" ref="I37:J37" si="57">SUM(I25:I36)</f>
        <v>0</v>
      </c>
      <c r="J37" s="109">
        <f t="shared" si="57"/>
        <v>0</v>
      </c>
      <c r="K37" s="178">
        <f t="shared" ref="K37" si="58">SUM(K25:K36)</f>
        <v>0</v>
      </c>
      <c r="L37" s="179">
        <f>SUM(L25:L36)</f>
        <v>1766.9420000000002</v>
      </c>
      <c r="M37" s="180">
        <f t="shared" ref="M37" si="59">SUM(M25:M36)</f>
        <v>1766.9420000000002</v>
      </c>
      <c r="N37" s="142">
        <f>SUM(N25:N36)</f>
        <v>0</v>
      </c>
      <c r="O37" s="142">
        <f>SUM(O25:O36)</f>
        <v>0</v>
      </c>
      <c r="P37" s="109">
        <f>SUM(P25:P36)</f>
        <v>0</v>
      </c>
      <c r="Q37" s="133">
        <f>SUM(Q25:Q36)</f>
        <v>0</v>
      </c>
      <c r="R37" s="178">
        <f t="shared" ref="R37" si="60">SUM(R25:R36)</f>
        <v>0</v>
      </c>
      <c r="S37" s="179">
        <f>SUM(S25:S36)</f>
        <v>3037.9</v>
      </c>
      <c r="T37" s="180">
        <f t="shared" ref="T37" si="61">SUM(T25:T36)</f>
        <v>3037.9</v>
      </c>
      <c r="U37" s="142">
        <f>SUM(U25:U36)</f>
        <v>0</v>
      </c>
      <c r="V37" s="142">
        <f>SUM(V25:V36)</f>
        <v>0</v>
      </c>
      <c r="W37" s="109">
        <f>SUM(W25:W36)</f>
        <v>0</v>
      </c>
      <c r="X37" s="222">
        <f>SUM(X25:X36)</f>
        <v>0</v>
      </c>
      <c r="Y37" s="178">
        <f t="shared" ref="Y37" si="62">SUM(Y25:Y36)</f>
        <v>0</v>
      </c>
      <c r="Z37" s="179">
        <f>SUM(Z25:Z36)</f>
        <v>103.111</v>
      </c>
      <c r="AA37" s="180">
        <f t="shared" ref="AA37" si="63">SUM(AA25:AA36)</f>
        <v>103.111</v>
      </c>
      <c r="AB37" s="142">
        <f>SUM(AB25:AB36)</f>
        <v>0</v>
      </c>
      <c r="AC37" s="142">
        <f>SUM(AC25:AC36)</f>
        <v>0</v>
      </c>
      <c r="AD37" s="109">
        <f>SUM(AD25:AD36)</f>
        <v>0</v>
      </c>
      <c r="AE37" s="222">
        <f>SUM(AE25:AE36)</f>
        <v>0</v>
      </c>
      <c r="AF37" s="178">
        <f t="shared" ref="AF37" si="64">SUM(AF25:AF36)</f>
        <v>0</v>
      </c>
      <c r="AG37" s="179">
        <f>SUM(AG25:AG36)</f>
        <v>1258.68</v>
      </c>
      <c r="AH37" s="180">
        <f t="shared" ref="AH37" si="65">SUM(AH25:AH36)</f>
        <v>1258.68</v>
      </c>
      <c r="AI37" s="142">
        <f t="shared" ref="AI37:AQ37" si="66">SUM(AI25:AI36)</f>
        <v>0</v>
      </c>
      <c r="AJ37" s="142">
        <f t="shared" si="66"/>
        <v>0</v>
      </c>
      <c r="AK37" s="109">
        <f t="shared" si="66"/>
        <v>0</v>
      </c>
      <c r="AL37" s="222">
        <f t="shared" si="66"/>
        <v>0</v>
      </c>
      <c r="AM37" s="118">
        <f t="shared" si="66"/>
        <v>20482.191999999999</v>
      </c>
      <c r="AN37" s="118">
        <f t="shared" si="66"/>
        <v>14.723999999999997</v>
      </c>
      <c r="AO37" s="179">
        <f t="shared" si="66"/>
        <v>2898.3710000000001</v>
      </c>
      <c r="AP37" s="83">
        <f t="shared" si="66"/>
        <v>23395.287</v>
      </c>
      <c r="AQ37" s="142">
        <f t="shared" si="66"/>
        <v>0</v>
      </c>
      <c r="AR37" s="109">
        <f t="shared" ref="AR37:BB37" si="67">SUM(AR25:AR36)</f>
        <v>0</v>
      </c>
      <c r="AS37" s="109">
        <f>SUM(AS25:AS36)</f>
        <v>0</v>
      </c>
      <c r="AT37" s="85">
        <f>SUM(AT25:AT36)</f>
        <v>0</v>
      </c>
      <c r="AU37" s="156">
        <f>SUM(AU25:AU36)</f>
        <v>0</v>
      </c>
      <c r="AV37" s="117">
        <f t="shared" si="67"/>
        <v>0</v>
      </c>
      <c r="AW37" s="179">
        <f>SUM(AW25:AW36)</f>
        <v>952.95199999999988</v>
      </c>
      <c r="AX37" s="83">
        <f>SUM(AX25:AX36)</f>
        <v>952.95199999999988</v>
      </c>
      <c r="AY37" s="84">
        <f t="shared" si="67"/>
        <v>0</v>
      </c>
      <c r="AZ37" s="108">
        <f>SUM(AZ25:AZ36)</f>
        <v>0</v>
      </c>
      <c r="BA37" s="186">
        <f>SUM(BA25:BA36)</f>
        <v>0</v>
      </c>
      <c r="BB37" s="202">
        <f t="shared" si="67"/>
        <v>0</v>
      </c>
      <c r="BC37" s="117">
        <f t="shared" ref="BC37" si="68">SUM(BC25:BC36)</f>
        <v>0</v>
      </c>
      <c r="BD37" s="179">
        <f>SUM(BD25:BD36)</f>
        <v>2027.9670000000001</v>
      </c>
      <c r="BE37" s="83">
        <f>SUM(BE25:BE36)</f>
        <v>2027.9670000000001</v>
      </c>
      <c r="BF37" s="84">
        <f t="shared" ref="BF37" si="69">SUM(BF25:BF36)</f>
        <v>0</v>
      </c>
      <c r="BG37" s="108">
        <f>SUM(BG25:BG36)</f>
        <v>0</v>
      </c>
      <c r="BH37" s="186">
        <f>SUM(BH25:BH36)</f>
        <v>0</v>
      </c>
      <c r="BI37" s="202">
        <f t="shared" ref="BI37:BJ37" si="70">SUM(BI25:BI36)</f>
        <v>0</v>
      </c>
      <c r="BJ37" s="117">
        <f t="shared" si="70"/>
        <v>0</v>
      </c>
      <c r="BK37" s="179">
        <f>SUM(BK25:BK36)</f>
        <v>212.36800000000002</v>
      </c>
      <c r="BL37" s="83">
        <f>SUM(BL25:BL36)</f>
        <v>212.36800000000002</v>
      </c>
      <c r="BM37" s="84">
        <f t="shared" ref="BM37" si="71">SUM(BM25:BM36)</f>
        <v>0</v>
      </c>
      <c r="BN37" s="108">
        <f>SUM(BN25:BN36)</f>
        <v>0</v>
      </c>
      <c r="BO37" s="186">
        <f>SUM(BO25:BO36)</f>
        <v>0</v>
      </c>
      <c r="BP37" s="202">
        <f t="shared" ref="BP37:BQ37" si="72">SUM(BP25:BP36)</f>
        <v>0</v>
      </c>
      <c r="BQ37" s="118">
        <f t="shared" si="72"/>
        <v>159.16499999999999</v>
      </c>
      <c r="BR37" s="179">
        <f>SUM(BR25:BR36)</f>
        <v>0</v>
      </c>
      <c r="BS37" s="83">
        <f>SUM(BS25:BS36)</f>
        <v>159.16499999999999</v>
      </c>
      <c r="BT37" s="84">
        <f t="shared" ref="BT37" si="73">SUM(BT25:BT36)</f>
        <v>0</v>
      </c>
      <c r="BU37" s="108">
        <f>SUM(BU25:BU36)</f>
        <v>0</v>
      </c>
      <c r="BV37" s="186">
        <f>SUM(BV25:BV36)</f>
        <v>0</v>
      </c>
      <c r="BW37" s="202">
        <f t="shared" ref="BW37:BX37" si="74">SUM(BW25:BW36)</f>
        <v>0</v>
      </c>
      <c r="BX37" s="117">
        <f t="shared" si="74"/>
        <v>0</v>
      </c>
      <c r="BY37" s="179">
        <f>SUM(BY25:BY36)</f>
        <v>4141.7199999999993</v>
      </c>
      <c r="BZ37" s="83">
        <f>SUM(BZ25:BZ36)</f>
        <v>4141.7199999999993</v>
      </c>
      <c r="CA37" s="84">
        <f t="shared" ref="CA37" si="75">SUM(CA25:CA36)</f>
        <v>0</v>
      </c>
      <c r="CB37" s="108">
        <f>SUM(CB25:CB36)</f>
        <v>0</v>
      </c>
      <c r="CC37" s="186">
        <f>SUM(CC25:CC36)</f>
        <v>0</v>
      </c>
      <c r="CD37" s="202">
        <f t="shared" ref="CD37" si="76">SUM(CD25:CD36)</f>
        <v>0</v>
      </c>
      <c r="CX37" s="40">
        <f>SUM(CX25:CX36)</f>
        <v>71649.017000000007</v>
      </c>
    </row>
    <row r="38" spans="1:10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6"/>
      <c r="K38" s="8"/>
      <c r="L38" s="8"/>
      <c r="M38" s="35"/>
      <c r="N38" s="15"/>
      <c r="O38" s="15"/>
      <c r="P38" s="15"/>
      <c r="Q38" s="6"/>
      <c r="R38" s="17"/>
      <c r="S38" s="17"/>
      <c r="T38" s="17"/>
      <c r="U38" s="17"/>
      <c r="V38" s="17"/>
      <c r="W38" s="17"/>
    </row>
    <row r="40" spans="1:102" x14ac:dyDescent="0.25">
      <c r="E40" s="2" t="s">
        <v>77</v>
      </c>
      <c r="G40" s="2"/>
      <c r="H40" s="2"/>
      <c r="I40" s="2"/>
      <c r="J40" s="2"/>
      <c r="K40" s="2"/>
      <c r="L40" s="2"/>
      <c r="M40" s="2"/>
      <c r="Q40" s="2"/>
      <c r="U40" s="2" t="s">
        <v>0</v>
      </c>
      <c r="V40" s="2"/>
      <c r="W40" s="2"/>
    </row>
    <row r="41" spans="1:102" x14ac:dyDescent="0.25">
      <c r="A41" s="11"/>
      <c r="B41" s="11"/>
      <c r="C41" s="11"/>
      <c r="D41" s="11"/>
    </row>
    <row r="42" spans="1:102" x14ac:dyDescent="0.25">
      <c r="A42" s="18"/>
      <c r="B42" s="5"/>
      <c r="C42" s="5"/>
      <c r="D42" s="5"/>
      <c r="E42" s="5"/>
    </row>
  </sheetData>
  <mergeCells count="80">
    <mergeCell ref="A1:CW1"/>
    <mergeCell ref="A20:CD20"/>
    <mergeCell ref="BQ22:BW22"/>
    <mergeCell ref="BQ23:BS23"/>
    <mergeCell ref="BT23:BW23"/>
    <mergeCell ref="BX22:CD22"/>
    <mergeCell ref="BX23:BZ23"/>
    <mergeCell ref="CA23:CD23"/>
    <mergeCell ref="BC22:BI22"/>
    <mergeCell ref="BC23:BE23"/>
    <mergeCell ref="BF23:BI23"/>
    <mergeCell ref="BJ22:BP22"/>
    <mergeCell ref="BJ23:BL23"/>
    <mergeCell ref="BM23:BP23"/>
    <mergeCell ref="CJ3:CP3"/>
    <mergeCell ref="CJ4:CL4"/>
    <mergeCell ref="CM4:CP4"/>
    <mergeCell ref="CQ3:CW3"/>
    <mergeCell ref="CQ4:CS4"/>
    <mergeCell ref="CT4:CW4"/>
    <mergeCell ref="BV3:CB3"/>
    <mergeCell ref="BV4:BX4"/>
    <mergeCell ref="BY4:CB4"/>
    <mergeCell ref="CC3:CI3"/>
    <mergeCell ref="CC4:CE4"/>
    <mergeCell ref="CF4:CI4"/>
    <mergeCell ref="AQ23:AU23"/>
    <mergeCell ref="AV23:AX23"/>
    <mergeCell ref="AY23:BB23"/>
    <mergeCell ref="BO3:BU3"/>
    <mergeCell ref="BO4:BQ4"/>
    <mergeCell ref="BR4:BU4"/>
    <mergeCell ref="AM22:AU22"/>
    <mergeCell ref="AV22:BB22"/>
    <mergeCell ref="AB4:AE4"/>
    <mergeCell ref="AF4:AH4"/>
    <mergeCell ref="AI4:AL4"/>
    <mergeCell ref="K22:Q22"/>
    <mergeCell ref="K23:M23"/>
    <mergeCell ref="N23:Q23"/>
    <mergeCell ref="R23:T23"/>
    <mergeCell ref="U23:X23"/>
    <mergeCell ref="R22:X22"/>
    <mergeCell ref="A19:Q19"/>
    <mergeCell ref="K4:M4"/>
    <mergeCell ref="B22:J22"/>
    <mergeCell ref="N4:Q4"/>
    <mergeCell ref="A22:A24"/>
    <mergeCell ref="B4:E4"/>
    <mergeCell ref="F4:J4"/>
    <mergeCell ref="A3:A5"/>
    <mergeCell ref="B23:E23"/>
    <mergeCell ref="F23:J23"/>
    <mergeCell ref="R3:X3"/>
    <mergeCell ref="K3:Q3"/>
    <mergeCell ref="B3:J3"/>
    <mergeCell ref="R4:T4"/>
    <mergeCell ref="U4:X4"/>
    <mergeCell ref="AM3:AS3"/>
    <mergeCell ref="AM4:AO4"/>
    <mergeCell ref="AP4:AS4"/>
    <mergeCell ref="Y4:AA4"/>
    <mergeCell ref="AF3:AL3"/>
    <mergeCell ref="Y3:AE3"/>
    <mergeCell ref="BH3:BN3"/>
    <mergeCell ref="BH4:BJ4"/>
    <mergeCell ref="BK4:BN4"/>
    <mergeCell ref="AT3:AZ3"/>
    <mergeCell ref="AT4:AV4"/>
    <mergeCell ref="AW4:AZ4"/>
    <mergeCell ref="BA3:BG3"/>
    <mergeCell ref="BA4:BC4"/>
    <mergeCell ref="BD4:BG4"/>
    <mergeCell ref="AM23:AP23"/>
    <mergeCell ref="Y22:AE22"/>
    <mergeCell ref="Y23:AA23"/>
    <mergeCell ref="AB23:AE23"/>
    <mergeCell ref="AF22:AL22"/>
    <mergeCell ref="AF23:AH23"/>
    <mergeCell ref="AI23:AL23"/>
  </mergeCells>
  <pageMargins left="0.70866141732283472" right="0.70866141732283472" top="0" bottom="0" header="0.31496062992125984" footer="0.31496062992125984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view="pageBreakPreview" zoomScaleNormal="100" zoomScaleSheetLayoutView="100" workbookViewId="0">
      <selection activeCell="J36" sqref="J36"/>
    </sheetView>
  </sheetViews>
  <sheetFormatPr defaultRowHeight="15" x14ac:dyDescent="0.25"/>
  <cols>
    <col min="1" max="1" width="10" customWidth="1"/>
    <col min="2" max="2" width="12.28515625" customWidth="1"/>
    <col min="3" max="3" width="11.5703125" customWidth="1"/>
    <col min="4" max="5" width="10.7109375" customWidth="1"/>
    <col min="6" max="6" width="11.28515625" bestFit="1" customWidth="1"/>
    <col min="7" max="7" width="12.42578125" bestFit="1" customWidth="1"/>
    <col min="8" max="8" width="15.42578125" bestFit="1" customWidth="1"/>
    <col min="9" max="9" width="14.28515625" bestFit="1" customWidth="1"/>
    <col min="10" max="10" width="15.28515625" bestFit="1" customWidth="1"/>
    <col min="11" max="11" width="13.140625" bestFit="1" customWidth="1"/>
    <col min="12" max="12" width="14.28515625" bestFit="1" customWidth="1"/>
    <col min="13" max="13" width="13.42578125" bestFit="1" customWidth="1"/>
    <col min="14" max="14" width="12.28515625" bestFit="1" customWidth="1"/>
    <col min="15" max="15" width="13.42578125" bestFit="1" customWidth="1"/>
  </cols>
  <sheetData>
    <row r="1" spans="1:15" ht="15.75" thickBot="1" x14ac:dyDescent="0.3"/>
    <row r="2" spans="1:15" ht="15.75" customHeight="1" thickBot="1" x14ac:dyDescent="0.3">
      <c r="A2" s="346" t="s">
        <v>82</v>
      </c>
      <c r="B2" s="394" t="s">
        <v>48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6"/>
    </row>
    <row r="3" spans="1:15" ht="15.75" customHeight="1" thickBot="1" x14ac:dyDescent="0.3">
      <c r="A3" s="390"/>
      <c r="B3" s="391" t="s">
        <v>20</v>
      </c>
      <c r="C3" s="392"/>
      <c r="D3" s="392"/>
      <c r="E3" s="392"/>
      <c r="F3" s="392"/>
      <c r="G3" s="393"/>
      <c r="H3" s="397" t="s">
        <v>8</v>
      </c>
      <c r="I3" s="398"/>
      <c r="J3" s="398"/>
      <c r="K3" s="398"/>
      <c r="L3" s="398"/>
      <c r="M3" s="398"/>
      <c r="N3" s="398"/>
      <c r="O3" s="399"/>
    </row>
    <row r="4" spans="1:15" ht="39" thickBot="1" x14ac:dyDescent="0.3">
      <c r="A4" s="347"/>
      <c r="B4" s="209" t="s">
        <v>1</v>
      </c>
      <c r="C4" s="230" t="s">
        <v>2</v>
      </c>
      <c r="D4" s="230" t="s">
        <v>3</v>
      </c>
      <c r="E4" s="127" t="s">
        <v>55</v>
      </c>
      <c r="F4" s="152" t="s">
        <v>56</v>
      </c>
      <c r="G4" s="151" t="s">
        <v>11</v>
      </c>
      <c r="H4" s="241" t="s">
        <v>1</v>
      </c>
      <c r="I4" s="230" t="s">
        <v>2</v>
      </c>
      <c r="J4" s="230" t="s">
        <v>3</v>
      </c>
      <c r="K4" s="127" t="s">
        <v>55</v>
      </c>
      <c r="L4" s="127" t="s">
        <v>56</v>
      </c>
      <c r="M4" s="140" t="s">
        <v>61</v>
      </c>
      <c r="N4" s="140" t="s">
        <v>60</v>
      </c>
      <c r="O4" s="151" t="s">
        <v>54</v>
      </c>
    </row>
    <row r="5" spans="1:15" x14ac:dyDescent="0.25">
      <c r="A5" s="236" t="s">
        <v>4</v>
      </c>
      <c r="B5" s="244">
        <v>16328.375</v>
      </c>
      <c r="C5" s="245">
        <v>2428.4720000000002</v>
      </c>
      <c r="D5" s="246">
        <v>523.49199999999996</v>
      </c>
      <c r="E5" s="246">
        <v>569.423</v>
      </c>
      <c r="F5" s="247">
        <v>1071.8309999999999</v>
      </c>
      <c r="G5" s="129">
        <f>SUM(B5:F5)</f>
        <v>20921.592999999997</v>
      </c>
      <c r="H5" s="237">
        <v>19871469.09</v>
      </c>
      <c r="I5" s="188">
        <v>6603063.9400000004</v>
      </c>
      <c r="J5" s="188">
        <v>2810911.23</v>
      </c>
      <c r="K5" s="188">
        <v>474204.09</v>
      </c>
      <c r="L5" s="239">
        <v>2125205.0699999998</v>
      </c>
      <c r="M5" s="90">
        <f>SUM(H5:J5)</f>
        <v>29285444.260000002</v>
      </c>
      <c r="N5" s="62">
        <f>SUM(K5:L5)</f>
        <v>2599409.1599999997</v>
      </c>
      <c r="O5" s="153">
        <f>ROUND(M5*1.2+N5*1.2,2)+0.01</f>
        <v>38261824.109999999</v>
      </c>
    </row>
    <row r="6" spans="1:15" x14ac:dyDescent="0.25">
      <c r="A6" s="170" t="s">
        <v>37</v>
      </c>
      <c r="B6" s="248">
        <v>15372.866</v>
      </c>
      <c r="C6" s="232">
        <v>2286.8539999999998</v>
      </c>
      <c r="D6" s="64">
        <v>556.79</v>
      </c>
      <c r="E6" s="64">
        <v>565.59900000000005</v>
      </c>
      <c r="F6" s="69">
        <v>1005.415</v>
      </c>
      <c r="G6" s="119">
        <f t="shared" ref="G6:G16" si="0">SUM(B6:F6)</f>
        <v>19787.524000000001</v>
      </c>
      <c r="H6" s="93">
        <v>18708624.190000001</v>
      </c>
      <c r="I6" s="74">
        <v>6218001.7599999998</v>
      </c>
      <c r="J6" s="74">
        <v>2989706.18</v>
      </c>
      <c r="K6" s="74">
        <v>471019.54</v>
      </c>
      <c r="L6" s="74">
        <v>1993516.75</v>
      </c>
      <c r="M6" s="91">
        <f>ROUND(SUM(H6:J6),2)</f>
        <v>27916332.129999999</v>
      </c>
      <c r="N6" s="67">
        <f>ROUND(SUM(K6:L6),2)</f>
        <v>2464536.29</v>
      </c>
      <c r="O6" s="121">
        <f>ROUND(M6*1.2+N6*1.2,2)+0.01</f>
        <v>36457042.109999999</v>
      </c>
    </row>
    <row r="7" spans="1:15" s="45" customFormat="1" x14ac:dyDescent="0.25">
      <c r="A7" s="164" t="s">
        <v>38</v>
      </c>
      <c r="B7" s="71">
        <v>14811.203</v>
      </c>
      <c r="C7" s="72">
        <v>1906.6679999999999</v>
      </c>
      <c r="D7" s="72">
        <v>462.69200000000001</v>
      </c>
      <c r="E7" s="72">
        <v>584.88499999999999</v>
      </c>
      <c r="F7" s="73">
        <v>827.46699999999998</v>
      </c>
      <c r="G7" s="119">
        <f t="shared" si="0"/>
        <v>18592.914999999997</v>
      </c>
      <c r="H7" s="93">
        <v>18025085.940000001</v>
      </c>
      <c r="I7" s="74">
        <v>5184268.43</v>
      </c>
      <c r="J7" s="74">
        <v>2484443.2000000002</v>
      </c>
      <c r="K7" s="74">
        <v>487080.53</v>
      </c>
      <c r="L7" s="74">
        <v>1640685.02</v>
      </c>
      <c r="M7" s="91">
        <f t="shared" ref="M7:M16" si="1">ROUND(SUM(H7:J7),2)</f>
        <v>25693797.57</v>
      </c>
      <c r="N7" s="67">
        <f t="shared" ref="N7:N16" si="2">ROUND(SUM(K7:L7),2)</f>
        <v>2127765.5499999998</v>
      </c>
      <c r="O7" s="121">
        <f>ROUND(N7*1.2+M7*1.2,2)+0.01</f>
        <v>33385875.75</v>
      </c>
    </row>
    <row r="8" spans="1:15" x14ac:dyDescent="0.25">
      <c r="A8" s="170" t="s">
        <v>39</v>
      </c>
      <c r="B8" s="71">
        <v>13549.071</v>
      </c>
      <c r="C8" s="72">
        <v>1683.192</v>
      </c>
      <c r="D8" s="72">
        <v>410.70499999999998</v>
      </c>
      <c r="E8" s="72">
        <v>592.29399999999998</v>
      </c>
      <c r="F8" s="73">
        <v>821.47900000000004</v>
      </c>
      <c r="G8" s="119">
        <f t="shared" si="0"/>
        <v>17056.740999999998</v>
      </c>
      <c r="H8" s="93">
        <v>16489083.92</v>
      </c>
      <c r="I8" s="74">
        <v>4576632.71</v>
      </c>
      <c r="J8" s="74">
        <v>2205296.9300000002</v>
      </c>
      <c r="K8" s="74">
        <v>493250.6</v>
      </c>
      <c r="L8" s="74">
        <v>1628812.13</v>
      </c>
      <c r="M8" s="91">
        <f>ROUND(SUM(H8:J8),2)</f>
        <v>23271013.559999999</v>
      </c>
      <c r="N8" s="67">
        <f t="shared" si="2"/>
        <v>2122062.73</v>
      </c>
      <c r="O8" s="121">
        <f>ROUND(M8*1.2+N8*1.2,2)</f>
        <v>30471691.550000001</v>
      </c>
    </row>
    <row r="9" spans="1:15" x14ac:dyDescent="0.25">
      <c r="A9" s="170" t="s">
        <v>12</v>
      </c>
      <c r="B9" s="71">
        <v>14930.148999999999</v>
      </c>
      <c r="C9" s="72">
        <v>1437.357</v>
      </c>
      <c r="D9" s="72">
        <v>439.048</v>
      </c>
      <c r="E9" s="72">
        <v>603.30799999999999</v>
      </c>
      <c r="F9" s="73">
        <v>598.77</v>
      </c>
      <c r="G9" s="119">
        <f t="shared" ref="G9" si="3">SUM(B9:F9)</f>
        <v>18008.632000000001</v>
      </c>
      <c r="H9" s="93">
        <v>18169842.030000001</v>
      </c>
      <c r="I9" s="74">
        <v>3908202.43</v>
      </c>
      <c r="J9" s="74">
        <v>2357485.7999999998</v>
      </c>
      <c r="K9" s="74">
        <v>502422.84</v>
      </c>
      <c r="L9" s="74">
        <v>1187229.18</v>
      </c>
      <c r="M9" s="91">
        <f t="shared" ref="M9" si="4">ROUND(SUM(H9:J9),2)</f>
        <v>24435530.260000002</v>
      </c>
      <c r="N9" s="67">
        <f t="shared" ref="N9" si="5">ROUND(SUM(K9:L9),2)</f>
        <v>1689652.02</v>
      </c>
      <c r="O9" s="121">
        <f>(N9+M9)*1.2+0.01</f>
        <v>31350218.746000003</v>
      </c>
    </row>
    <row r="10" spans="1:15" x14ac:dyDescent="0.25">
      <c r="A10" s="170" t="s">
        <v>13</v>
      </c>
      <c r="B10" s="63">
        <v>13042.127</v>
      </c>
      <c r="C10" s="64">
        <v>1295.8409999999999</v>
      </c>
      <c r="D10" s="64">
        <v>441.08300000000003</v>
      </c>
      <c r="E10" s="64">
        <v>593.41200000000003</v>
      </c>
      <c r="F10" s="65">
        <v>668.07100000000003</v>
      </c>
      <c r="G10" s="119">
        <f t="shared" si="0"/>
        <v>16040.534000000001</v>
      </c>
      <c r="H10" s="93">
        <v>15872138.140000001</v>
      </c>
      <c r="I10" s="74">
        <v>3523417.6</v>
      </c>
      <c r="J10" s="74">
        <v>2368412.81</v>
      </c>
      <c r="K10" s="74">
        <v>494181.65</v>
      </c>
      <c r="L10" s="74">
        <v>1324637.82</v>
      </c>
      <c r="M10" s="91">
        <f t="shared" si="1"/>
        <v>21763968.550000001</v>
      </c>
      <c r="N10" s="67">
        <f t="shared" si="2"/>
        <v>1818819.47</v>
      </c>
      <c r="O10" s="121">
        <f t="shared" ref="O10:O11" si="6">(N10+M10)*1.2</f>
        <v>28299345.623999998</v>
      </c>
    </row>
    <row r="11" spans="1:15" x14ac:dyDescent="0.25">
      <c r="A11" s="170" t="s">
        <v>14</v>
      </c>
      <c r="B11" s="63">
        <v>12394.553</v>
      </c>
      <c r="C11" s="64">
        <v>2102.5129999999999</v>
      </c>
      <c r="D11" s="64">
        <v>518.31799999999998</v>
      </c>
      <c r="E11" s="64">
        <v>594.96299999999997</v>
      </c>
      <c r="F11" s="65">
        <v>819.76199999999994</v>
      </c>
      <c r="G11" s="119">
        <f t="shared" si="0"/>
        <v>16430.108999999997</v>
      </c>
      <c r="H11" s="91">
        <v>18100881.260000002</v>
      </c>
      <c r="I11" s="74">
        <v>5888276.8799999999</v>
      </c>
      <c r="J11" s="74">
        <v>2783129.23</v>
      </c>
      <c r="K11" s="74">
        <v>340848.35</v>
      </c>
      <c r="L11" s="74">
        <v>1501172.77</v>
      </c>
      <c r="M11" s="91">
        <f t="shared" si="1"/>
        <v>26772287.370000001</v>
      </c>
      <c r="N11" s="67">
        <f t="shared" si="2"/>
        <v>1842021.12</v>
      </c>
      <c r="O11" s="121">
        <f t="shared" si="6"/>
        <v>34337170.188000001</v>
      </c>
    </row>
    <row r="12" spans="1:15" x14ac:dyDescent="0.25">
      <c r="A12" s="164" t="s">
        <v>15</v>
      </c>
      <c r="B12" s="71">
        <v>10088.913</v>
      </c>
      <c r="C12" s="72">
        <v>2039.874</v>
      </c>
      <c r="D12" s="72">
        <v>537.84199999999998</v>
      </c>
      <c r="E12" s="72">
        <v>606.14200000000005</v>
      </c>
      <c r="F12" s="73">
        <v>702.10400000000004</v>
      </c>
      <c r="G12" s="119">
        <f t="shared" si="0"/>
        <v>13974.875</v>
      </c>
      <c r="H12" s="93">
        <v>14733747.66</v>
      </c>
      <c r="I12" s="74">
        <v>5712850.7300000004</v>
      </c>
      <c r="J12" s="74">
        <v>2887964.13</v>
      </c>
      <c r="K12" s="74">
        <v>347252.69</v>
      </c>
      <c r="L12" s="74">
        <v>1285713.9099999999</v>
      </c>
      <c r="M12" s="91">
        <f t="shared" si="1"/>
        <v>23334562.52</v>
      </c>
      <c r="N12" s="67">
        <f t="shared" si="2"/>
        <v>1632966.6</v>
      </c>
      <c r="O12" s="121">
        <f>(N12+M12)*1.2+0.01</f>
        <v>29961034.954000004</v>
      </c>
    </row>
    <row r="13" spans="1:15" x14ac:dyDescent="0.25">
      <c r="A13" s="170" t="s">
        <v>16</v>
      </c>
      <c r="B13" s="71">
        <v>12199.241</v>
      </c>
      <c r="C13" s="72">
        <v>1709.0070000000001</v>
      </c>
      <c r="D13" s="72">
        <v>452.9</v>
      </c>
      <c r="E13" s="299">
        <v>610.80799999999999</v>
      </c>
      <c r="F13" s="238">
        <v>771.17600000000004</v>
      </c>
      <c r="G13" s="119">
        <f t="shared" si="0"/>
        <v>15743.131999999998</v>
      </c>
      <c r="H13" s="93">
        <v>17815649.559999999</v>
      </c>
      <c r="I13" s="74">
        <v>4786227.91</v>
      </c>
      <c r="J13" s="74">
        <v>2431864.67</v>
      </c>
      <c r="K13" s="47">
        <v>349925.8</v>
      </c>
      <c r="L13" s="47">
        <v>1412200.63</v>
      </c>
      <c r="M13" s="91">
        <f t="shared" si="1"/>
        <v>25033742.140000001</v>
      </c>
      <c r="N13" s="67">
        <f t="shared" si="2"/>
        <v>1762126.43</v>
      </c>
      <c r="O13" s="154">
        <f>(N13+M13)*1.2</f>
        <v>32155042.283999998</v>
      </c>
    </row>
    <row r="14" spans="1:15" x14ac:dyDescent="0.25">
      <c r="A14" s="170" t="s">
        <v>17</v>
      </c>
      <c r="B14" s="71">
        <v>13914.102999999999</v>
      </c>
      <c r="C14" s="72">
        <v>1838.9780000000001</v>
      </c>
      <c r="D14" s="72">
        <v>491.983</v>
      </c>
      <c r="E14" s="72">
        <v>610.92499999999995</v>
      </c>
      <c r="F14" s="73">
        <v>794.88099999999997</v>
      </c>
      <c r="G14" s="119">
        <f t="shared" si="0"/>
        <v>17650.87</v>
      </c>
      <c r="H14" s="93">
        <v>20320016.879999999</v>
      </c>
      <c r="I14" s="74">
        <v>5150223.4000000004</v>
      </c>
      <c r="J14" s="74">
        <v>2641722.4</v>
      </c>
      <c r="K14" s="74">
        <v>349992.82</v>
      </c>
      <c r="L14" s="74">
        <v>1455609.93</v>
      </c>
      <c r="M14" s="91">
        <f>ROUND(SUM(H14:J14),2)</f>
        <v>28111962.68</v>
      </c>
      <c r="N14" s="67">
        <f t="shared" si="2"/>
        <v>1805602.75</v>
      </c>
      <c r="O14" s="121">
        <f>(N14+M14)*1.2</f>
        <v>35901078.515999995</v>
      </c>
    </row>
    <row r="15" spans="1:15" x14ac:dyDescent="0.25">
      <c r="A15" s="170" t="s">
        <v>18</v>
      </c>
      <c r="B15" s="63">
        <v>13916.224</v>
      </c>
      <c r="C15" s="64">
        <v>1711.925</v>
      </c>
      <c r="D15" s="64">
        <v>517.59199999999998</v>
      </c>
      <c r="E15" s="64">
        <v>629.77200000000005</v>
      </c>
      <c r="F15" s="65">
        <v>976.49</v>
      </c>
      <c r="G15" s="119">
        <f t="shared" si="0"/>
        <v>17752.003000000001</v>
      </c>
      <c r="H15" s="91">
        <v>20323114.370000001</v>
      </c>
      <c r="I15" s="74">
        <v>4794400.04</v>
      </c>
      <c r="J15" s="74">
        <v>2779230.95</v>
      </c>
      <c r="K15" s="74">
        <v>360790.08</v>
      </c>
      <c r="L15" s="74">
        <v>1788177.78</v>
      </c>
      <c r="M15" s="91">
        <f>ROUND(SUM(H15:J15),2)</f>
        <v>27896745.359999999</v>
      </c>
      <c r="N15" s="67">
        <f>ROUND(SUM(K15:L15),2)</f>
        <v>2148967.86</v>
      </c>
      <c r="O15" s="121">
        <f>(N15+M15)*1.2+0.01</f>
        <v>36054855.873999998</v>
      </c>
    </row>
    <row r="16" spans="1:15" ht="15.75" thickBot="1" x14ac:dyDescent="0.3">
      <c r="A16" s="171" t="s">
        <v>19</v>
      </c>
      <c r="B16" s="95">
        <v>15305.02</v>
      </c>
      <c r="C16" s="96">
        <v>1665.085</v>
      </c>
      <c r="D16" s="96">
        <v>573.77</v>
      </c>
      <c r="E16" s="96">
        <v>659.44299999999998</v>
      </c>
      <c r="F16" s="98">
        <v>1165.3309999999999</v>
      </c>
      <c r="G16" s="120">
        <f t="shared" si="0"/>
        <v>19368.648999999998</v>
      </c>
      <c r="H16" s="132">
        <v>22351298.16</v>
      </c>
      <c r="I16" s="104">
        <v>4663220.4000000004</v>
      </c>
      <c r="J16" s="104">
        <v>3080880.97</v>
      </c>
      <c r="K16" s="104">
        <v>377788.3</v>
      </c>
      <c r="L16" s="104">
        <v>2133989.09</v>
      </c>
      <c r="M16" s="91">
        <f t="shared" si="1"/>
        <v>30095399.530000001</v>
      </c>
      <c r="N16" s="67">
        <f t="shared" si="2"/>
        <v>2511777.39</v>
      </c>
      <c r="O16" s="121">
        <f>(N16+M16)*1.2</f>
        <v>39128612.303999998</v>
      </c>
    </row>
    <row r="17" spans="1:15" ht="15.75" thickBot="1" x14ac:dyDescent="0.3">
      <c r="A17" s="233" t="s">
        <v>11</v>
      </c>
      <c r="B17" s="234">
        <f t="shared" ref="B17:N17" si="7">SUM(B5:B16)</f>
        <v>165851.84499999997</v>
      </c>
      <c r="C17" s="234">
        <f t="shared" si="7"/>
        <v>22105.766</v>
      </c>
      <c r="D17" s="234">
        <f t="shared" si="7"/>
        <v>5926.2150000000001</v>
      </c>
      <c r="E17" s="234">
        <f t="shared" si="7"/>
        <v>7220.9740000000002</v>
      </c>
      <c r="F17" s="240">
        <f t="shared" ref="F17" si="8">SUM(F5:F16)</f>
        <v>10222.777</v>
      </c>
      <c r="G17" s="243">
        <f t="shared" si="7"/>
        <v>211327.57699999999</v>
      </c>
      <c r="H17" s="242">
        <f>SUM(H5:H16)</f>
        <v>220780951.20000002</v>
      </c>
      <c r="I17" s="235">
        <f t="shared" si="7"/>
        <v>61008786.229999997</v>
      </c>
      <c r="J17" s="235">
        <f t="shared" si="7"/>
        <v>31821048.499999996</v>
      </c>
      <c r="K17" s="235">
        <f t="shared" si="7"/>
        <v>5048757.29</v>
      </c>
      <c r="L17" s="235">
        <f>SUM(L5:L16)</f>
        <v>19476950.080000002</v>
      </c>
      <c r="M17" s="133">
        <f t="shared" si="7"/>
        <v>313610785.93000007</v>
      </c>
      <c r="N17" s="109">
        <f t="shared" si="7"/>
        <v>24525707.370000001</v>
      </c>
      <c r="O17" s="123">
        <f>SUM(O5:O16)</f>
        <v>405763792.00999999</v>
      </c>
    </row>
    <row r="22" spans="1:15" x14ac:dyDescent="0.25">
      <c r="B22" s="2" t="s">
        <v>47</v>
      </c>
      <c r="C22" s="1"/>
      <c r="D22" s="2"/>
      <c r="E22" s="2"/>
      <c r="F22" s="2"/>
      <c r="G22" s="2"/>
      <c r="H22" s="2"/>
      <c r="I22" s="1"/>
      <c r="J22" s="19" t="s">
        <v>0</v>
      </c>
    </row>
    <row r="28" spans="1:15" x14ac:dyDescent="0.25">
      <c r="E28" s="326"/>
    </row>
  </sheetData>
  <mergeCells count="4">
    <mergeCell ref="A2:A4"/>
    <mergeCell ref="B3:G3"/>
    <mergeCell ref="B2:O2"/>
    <mergeCell ref="H3:O3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1"/>
  <sheetViews>
    <sheetView view="pageBreakPreview" zoomScaleNormal="100" zoomScaleSheetLayoutView="100" workbookViewId="0">
      <selection activeCell="D34" activeCellId="1" sqref="D17 D34"/>
    </sheetView>
  </sheetViews>
  <sheetFormatPr defaultRowHeight="15" x14ac:dyDescent="0.25"/>
  <cols>
    <col min="1" max="1" width="11.28515625" customWidth="1"/>
    <col min="2" max="3" width="9" customWidth="1"/>
    <col min="4" max="4" width="8.28515625" customWidth="1"/>
    <col min="5" max="6" width="9.85546875" bestFit="1" customWidth="1"/>
    <col min="7" max="8" width="11.28515625" bestFit="1" customWidth="1"/>
    <col min="9" max="11" width="9.85546875" customWidth="1"/>
    <col min="12" max="12" width="10.85546875" bestFit="1" customWidth="1"/>
    <col min="13" max="13" width="11" customWidth="1"/>
    <col min="14" max="14" width="10" customWidth="1"/>
    <col min="15" max="15" width="12" customWidth="1"/>
    <col min="16" max="17" width="14.42578125" customWidth="1"/>
  </cols>
  <sheetData>
    <row r="1" spans="1:15" ht="15.75" thickBot="1" x14ac:dyDescent="0.3"/>
    <row r="2" spans="1:15" ht="15.75" thickBot="1" x14ac:dyDescent="0.3">
      <c r="A2" s="400" t="s">
        <v>81</v>
      </c>
      <c r="B2" s="412" t="s">
        <v>49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3"/>
    </row>
    <row r="3" spans="1:15" ht="23.25" customHeight="1" thickBot="1" x14ac:dyDescent="0.3">
      <c r="A3" s="401"/>
      <c r="B3" s="403" t="s">
        <v>33</v>
      </c>
      <c r="C3" s="385"/>
      <c r="D3" s="387"/>
      <c r="E3" s="404" t="s">
        <v>34</v>
      </c>
      <c r="F3" s="405"/>
      <c r="G3" s="406"/>
      <c r="H3" s="407" t="s">
        <v>41</v>
      </c>
      <c r="I3" s="408"/>
      <c r="J3" s="408"/>
      <c r="K3" s="409" t="s">
        <v>43</v>
      </c>
      <c r="L3" s="410"/>
      <c r="M3" s="411"/>
      <c r="N3" s="414" t="s">
        <v>53</v>
      </c>
      <c r="O3" s="414" t="s">
        <v>54</v>
      </c>
    </row>
    <row r="4" spans="1:15" ht="26.25" thickBot="1" x14ac:dyDescent="0.3">
      <c r="A4" s="402"/>
      <c r="B4" s="273" t="s">
        <v>2</v>
      </c>
      <c r="C4" s="274" t="s">
        <v>3</v>
      </c>
      <c r="D4" s="146" t="s">
        <v>11</v>
      </c>
      <c r="E4" s="273" t="s">
        <v>2</v>
      </c>
      <c r="F4" s="274" t="s">
        <v>3</v>
      </c>
      <c r="G4" s="146" t="s">
        <v>11</v>
      </c>
      <c r="H4" s="273" t="s">
        <v>2</v>
      </c>
      <c r="I4" s="274" t="s">
        <v>3</v>
      </c>
      <c r="J4" s="151" t="s">
        <v>53</v>
      </c>
      <c r="K4" s="273" t="s">
        <v>2</v>
      </c>
      <c r="L4" s="274" t="s">
        <v>3</v>
      </c>
      <c r="M4" s="151" t="s">
        <v>53</v>
      </c>
      <c r="N4" s="415"/>
      <c r="O4" s="415"/>
    </row>
    <row r="5" spans="1:15" x14ac:dyDescent="0.25">
      <c r="A5" s="252" t="s">
        <v>4</v>
      </c>
      <c r="B5" s="270">
        <v>9.4269999999999996</v>
      </c>
      <c r="C5" s="271">
        <v>3.72</v>
      </c>
      <c r="D5" s="272">
        <f>SUM(B5:C5)</f>
        <v>13.147</v>
      </c>
      <c r="E5" s="270">
        <v>1.2999999999999999E-2</v>
      </c>
      <c r="F5" s="271">
        <v>5.0000000000000001E-3</v>
      </c>
      <c r="G5" s="272">
        <f>SUM(E5:F5)</f>
        <v>1.7999999999999999E-2</v>
      </c>
      <c r="H5" s="20">
        <v>5395.35</v>
      </c>
      <c r="I5" s="31">
        <v>4616.93</v>
      </c>
      <c r="J5" s="289">
        <f>SUM(H5:I5)</f>
        <v>10012.280000000001</v>
      </c>
      <c r="K5" s="20">
        <v>15373.04</v>
      </c>
      <c r="L5" s="31">
        <v>12487.7</v>
      </c>
      <c r="M5" s="286">
        <f>SUM(K5:L5)</f>
        <v>27860.74</v>
      </c>
      <c r="N5" s="291">
        <f>J5+M5</f>
        <v>37873.020000000004</v>
      </c>
      <c r="O5" s="286">
        <f>ROUND(J5*1.2+M5*1.2,2)+0.01</f>
        <v>45447.630000000005</v>
      </c>
    </row>
    <row r="6" spans="1:15" x14ac:dyDescent="0.25">
      <c r="A6" s="253" t="s">
        <v>5</v>
      </c>
      <c r="B6" s="44">
        <v>8.8309999999999995</v>
      </c>
      <c r="C6" s="262">
        <v>3.4870000000000001</v>
      </c>
      <c r="D6" s="266">
        <f t="shared" ref="D6:D16" si="0">SUM(B6:C6)</f>
        <v>12.318</v>
      </c>
      <c r="E6" s="44">
        <v>1.2999999999999999E-2</v>
      </c>
      <c r="F6" s="262">
        <v>5.0000000000000001E-3</v>
      </c>
      <c r="G6" s="266">
        <f t="shared" ref="G6:G16" si="1">SUM(E6:F6)</f>
        <v>1.7999999999999999E-2</v>
      </c>
      <c r="H6" s="20">
        <v>5054.25</v>
      </c>
      <c r="I6" s="31">
        <v>4327.75</v>
      </c>
      <c r="J6" s="22">
        <f t="shared" ref="J6:J16" si="2">SUM(H6:I6)</f>
        <v>9382</v>
      </c>
      <c r="K6" s="20">
        <v>15373.04</v>
      </c>
      <c r="L6" s="31">
        <v>12487.7</v>
      </c>
      <c r="M6" s="211">
        <f t="shared" ref="M6:M16" si="3">SUM(K6:L6)</f>
        <v>27860.74</v>
      </c>
      <c r="N6" s="21">
        <f t="shared" ref="N6:N15" si="4">J6+M6</f>
        <v>37242.740000000005</v>
      </c>
      <c r="O6" s="211">
        <f>ROUND(J6*1.2+M6*1.2,2)</f>
        <v>44691.29</v>
      </c>
    </row>
    <row r="7" spans="1:15" s="45" customFormat="1" x14ac:dyDescent="0.25">
      <c r="A7" s="253" t="s">
        <v>6</v>
      </c>
      <c r="B7" s="44">
        <v>9.1519999999999992</v>
      </c>
      <c r="C7" s="264">
        <v>3.74</v>
      </c>
      <c r="D7" s="266">
        <f t="shared" si="0"/>
        <v>12.891999999999999</v>
      </c>
      <c r="E7" s="44">
        <v>1.2999999999999999E-2</v>
      </c>
      <c r="F7" s="262">
        <v>5.0000000000000001E-3</v>
      </c>
      <c r="G7" s="266">
        <f t="shared" si="1"/>
        <v>1.7999999999999999E-2</v>
      </c>
      <c r="H7" s="20">
        <v>5237.96</v>
      </c>
      <c r="I7" s="31">
        <v>4641.75</v>
      </c>
      <c r="J7" s="22">
        <f t="shared" si="2"/>
        <v>9879.7099999999991</v>
      </c>
      <c r="K7" s="20">
        <v>15373.04</v>
      </c>
      <c r="L7" s="31">
        <v>12487.7</v>
      </c>
      <c r="M7" s="211">
        <f t="shared" si="3"/>
        <v>27860.74</v>
      </c>
      <c r="N7" s="21">
        <f t="shared" si="4"/>
        <v>37740.449999999997</v>
      </c>
      <c r="O7" s="211">
        <f>ROUND(J7*1.2+M7*1.2,2)</f>
        <v>45288.54</v>
      </c>
    </row>
    <row r="8" spans="1:15" x14ac:dyDescent="0.25">
      <c r="A8" s="253" t="s">
        <v>7</v>
      </c>
      <c r="B8" s="44">
        <v>8.5419999999999998</v>
      </c>
      <c r="C8" s="264">
        <v>3.6640000000000001</v>
      </c>
      <c r="D8" s="266">
        <f t="shared" si="0"/>
        <v>12.206</v>
      </c>
      <c r="E8" s="44">
        <v>1.2E-2</v>
      </c>
      <c r="F8" s="262">
        <v>5.0000000000000001E-3</v>
      </c>
      <c r="G8" s="266">
        <f t="shared" si="1"/>
        <v>1.7000000000000001E-2</v>
      </c>
      <c r="H8" s="20">
        <v>4888.84</v>
      </c>
      <c r="I8" s="31">
        <v>4547.43</v>
      </c>
      <c r="J8" s="22">
        <f t="shared" si="2"/>
        <v>9436.27</v>
      </c>
      <c r="K8" s="20">
        <v>14190.5</v>
      </c>
      <c r="L8" s="31">
        <v>12487.7</v>
      </c>
      <c r="M8" s="211">
        <f t="shared" si="3"/>
        <v>26678.2</v>
      </c>
      <c r="N8" s="21">
        <f t="shared" si="4"/>
        <v>36114.47</v>
      </c>
      <c r="O8" s="211">
        <f>ROUND(J8*1.2+M8*1.2,2)+0.01</f>
        <v>43337.37</v>
      </c>
    </row>
    <row r="9" spans="1:15" x14ac:dyDescent="0.25">
      <c r="A9" s="253" t="s">
        <v>12</v>
      </c>
      <c r="B9" s="44">
        <v>8.8710000000000004</v>
      </c>
      <c r="C9" s="262">
        <v>3.722</v>
      </c>
      <c r="D9" s="266">
        <f t="shared" si="0"/>
        <v>12.593</v>
      </c>
      <c r="E9" s="44">
        <v>1.2999999999999999E-2</v>
      </c>
      <c r="F9" s="262">
        <v>6.0000000000000001E-3</v>
      </c>
      <c r="G9" s="266">
        <f t="shared" si="1"/>
        <v>1.9E-2</v>
      </c>
      <c r="H9" s="20">
        <v>5077.1400000000003</v>
      </c>
      <c r="I9" s="31">
        <v>4619.41</v>
      </c>
      <c r="J9" s="22">
        <f t="shared" si="2"/>
        <v>9696.5499999999993</v>
      </c>
      <c r="K9" s="20">
        <v>15373.04</v>
      </c>
      <c r="L9" s="31">
        <v>14985.24</v>
      </c>
      <c r="M9" s="211">
        <f t="shared" si="3"/>
        <v>30358.28</v>
      </c>
      <c r="N9" s="21">
        <f t="shared" si="4"/>
        <v>40054.83</v>
      </c>
      <c r="O9" s="211">
        <f t="shared" ref="O9:O16" si="5">ROUND(N9*1.2,2)</f>
        <v>48065.8</v>
      </c>
    </row>
    <row r="10" spans="1:15" x14ac:dyDescent="0.25">
      <c r="A10" s="253" t="s">
        <v>13</v>
      </c>
      <c r="B10" s="44">
        <v>8.5960000000000001</v>
      </c>
      <c r="C10" s="262">
        <v>3.6560000000000001</v>
      </c>
      <c r="D10" s="266">
        <f t="shared" si="0"/>
        <v>12.252000000000001</v>
      </c>
      <c r="E10" s="44">
        <v>1.2999999999999999E-2</v>
      </c>
      <c r="F10" s="262">
        <v>5.0000000000000001E-3</v>
      </c>
      <c r="G10" s="266">
        <f t="shared" si="1"/>
        <v>1.7999999999999999E-2</v>
      </c>
      <c r="H10" s="20">
        <v>4919.75</v>
      </c>
      <c r="I10" s="31">
        <v>4537.5</v>
      </c>
      <c r="J10" s="22">
        <f t="shared" si="2"/>
        <v>9457.25</v>
      </c>
      <c r="K10" s="20">
        <v>15373.04</v>
      </c>
      <c r="L10" s="31">
        <v>12487.7</v>
      </c>
      <c r="M10" s="211">
        <f t="shared" si="3"/>
        <v>27860.74</v>
      </c>
      <c r="N10" s="21">
        <f t="shared" si="4"/>
        <v>37317.990000000005</v>
      </c>
      <c r="O10" s="211">
        <f t="shared" si="5"/>
        <v>44781.59</v>
      </c>
    </row>
    <row r="11" spans="1:15" x14ac:dyDescent="0.25">
      <c r="A11" s="253" t="s">
        <v>14</v>
      </c>
      <c r="B11" s="258">
        <v>8.8759999999999994</v>
      </c>
      <c r="C11" s="262">
        <v>3.8069999999999999</v>
      </c>
      <c r="D11" s="266">
        <f t="shared" si="0"/>
        <v>12.683</v>
      </c>
      <c r="E11" s="44">
        <v>1.2999999999999999E-2</v>
      </c>
      <c r="F11" s="262">
        <v>5.0000000000000001E-3</v>
      </c>
      <c r="G11" s="266">
        <f t="shared" si="1"/>
        <v>1.7999999999999999E-2</v>
      </c>
      <c r="H11" s="20">
        <v>5537.12</v>
      </c>
      <c r="I11" s="31">
        <v>4502.54</v>
      </c>
      <c r="J11" s="22">
        <f t="shared" si="2"/>
        <v>10039.66</v>
      </c>
      <c r="K11" s="20">
        <v>15834.24</v>
      </c>
      <c r="L11" s="31">
        <v>12862.33</v>
      </c>
      <c r="M11" s="211">
        <f t="shared" si="3"/>
        <v>28696.57</v>
      </c>
      <c r="N11" s="21">
        <f t="shared" si="4"/>
        <v>38736.229999999996</v>
      </c>
      <c r="O11" s="211">
        <f t="shared" si="5"/>
        <v>46483.48</v>
      </c>
    </row>
    <row r="12" spans="1:15" s="45" customFormat="1" x14ac:dyDescent="0.25">
      <c r="A12" s="253" t="s">
        <v>15</v>
      </c>
      <c r="B12" s="258">
        <v>9.0779999999999994</v>
      </c>
      <c r="C12" s="262">
        <v>3.827</v>
      </c>
      <c r="D12" s="266">
        <f t="shared" si="0"/>
        <v>12.904999999999999</v>
      </c>
      <c r="E12" s="44">
        <v>1.2999999999999999E-2</v>
      </c>
      <c r="F12" s="262">
        <v>6.0000000000000001E-3</v>
      </c>
      <c r="G12" s="266">
        <f t="shared" si="1"/>
        <v>1.9E-2</v>
      </c>
      <c r="H12" s="20">
        <v>5663.13</v>
      </c>
      <c r="I12" s="31">
        <v>4526.1899999999996</v>
      </c>
      <c r="J12" s="22">
        <f t="shared" si="2"/>
        <v>10189.32</v>
      </c>
      <c r="K12" s="20">
        <v>15834.24</v>
      </c>
      <c r="L12" s="31">
        <v>15434.8</v>
      </c>
      <c r="M12" s="211">
        <f t="shared" si="3"/>
        <v>31269.040000000001</v>
      </c>
      <c r="N12" s="21">
        <f t="shared" si="4"/>
        <v>41458.36</v>
      </c>
      <c r="O12" s="211">
        <f>ROUND(N12*1.2,2)+0.01</f>
        <v>49750.04</v>
      </c>
    </row>
    <row r="13" spans="1:15" x14ac:dyDescent="0.25">
      <c r="A13" s="253" t="s">
        <v>16</v>
      </c>
      <c r="B13" s="257">
        <v>8.9789999999999992</v>
      </c>
      <c r="C13" s="263">
        <v>3.6579999999999999</v>
      </c>
      <c r="D13" s="266">
        <f t="shared" si="0"/>
        <v>12.636999999999999</v>
      </c>
      <c r="E13" s="44">
        <v>1.4E-2</v>
      </c>
      <c r="F13" s="262">
        <v>5.0000000000000001E-3</v>
      </c>
      <c r="G13" s="266">
        <f t="shared" si="1"/>
        <v>1.9E-2</v>
      </c>
      <c r="H13" s="20">
        <v>5601.37</v>
      </c>
      <c r="I13" s="31">
        <v>4326.32</v>
      </c>
      <c r="J13" s="22">
        <f t="shared" si="2"/>
        <v>9927.6899999999987</v>
      </c>
      <c r="K13" s="20">
        <v>17052.25</v>
      </c>
      <c r="L13" s="31">
        <v>12862.33</v>
      </c>
      <c r="M13" s="211">
        <f t="shared" si="3"/>
        <v>29914.58</v>
      </c>
      <c r="N13" s="21">
        <f t="shared" si="4"/>
        <v>39842.270000000004</v>
      </c>
      <c r="O13" s="211">
        <f t="shared" si="5"/>
        <v>47810.720000000001</v>
      </c>
    </row>
    <row r="14" spans="1:15" x14ac:dyDescent="0.25">
      <c r="A14" s="253" t="s">
        <v>17</v>
      </c>
      <c r="B14" s="258">
        <v>9.35</v>
      </c>
      <c r="C14" s="264">
        <v>3.8929999999999998</v>
      </c>
      <c r="D14" s="266">
        <f t="shared" si="0"/>
        <v>13.242999999999999</v>
      </c>
      <c r="E14" s="44">
        <v>1.4E-2</v>
      </c>
      <c r="F14" s="262">
        <v>6.0000000000000001E-3</v>
      </c>
      <c r="G14" s="266">
        <f t="shared" si="1"/>
        <v>0.02</v>
      </c>
      <c r="H14" s="20">
        <v>5832.81</v>
      </c>
      <c r="I14" s="31">
        <v>4604.25</v>
      </c>
      <c r="J14" s="22">
        <f t="shared" si="2"/>
        <v>10437.060000000001</v>
      </c>
      <c r="K14" s="20">
        <v>17052.25</v>
      </c>
      <c r="L14" s="31">
        <v>15434.8</v>
      </c>
      <c r="M14" s="211">
        <f t="shared" si="3"/>
        <v>32487.05</v>
      </c>
      <c r="N14" s="21">
        <f t="shared" si="4"/>
        <v>42924.11</v>
      </c>
      <c r="O14" s="211">
        <f>ROUND(N14*1.2,2)</f>
        <v>51508.93</v>
      </c>
    </row>
    <row r="15" spans="1:15" x14ac:dyDescent="0.25">
      <c r="A15" s="253" t="s">
        <v>18</v>
      </c>
      <c r="B15" s="44">
        <v>8.8970000000000002</v>
      </c>
      <c r="C15" s="262">
        <v>3.8450000000000002</v>
      </c>
      <c r="D15" s="266">
        <f t="shared" si="0"/>
        <v>12.742000000000001</v>
      </c>
      <c r="E15" s="44">
        <v>1.4E-2</v>
      </c>
      <c r="F15" s="262">
        <v>5.0000000000000001E-3</v>
      </c>
      <c r="G15" s="266">
        <f t="shared" si="1"/>
        <v>1.9E-2</v>
      </c>
      <c r="H15" s="20">
        <v>5550.22</v>
      </c>
      <c r="I15" s="31">
        <v>4547.4799999999996</v>
      </c>
      <c r="J15" s="22">
        <f t="shared" si="2"/>
        <v>10097.700000000001</v>
      </c>
      <c r="K15" s="20">
        <v>17052.25</v>
      </c>
      <c r="L15" s="31">
        <v>12862.33</v>
      </c>
      <c r="M15" s="211">
        <f>SUM(K15:L15)</f>
        <v>29914.58</v>
      </c>
      <c r="N15" s="21">
        <f t="shared" si="4"/>
        <v>40012.28</v>
      </c>
      <c r="O15" s="211">
        <f t="shared" si="5"/>
        <v>48014.74</v>
      </c>
    </row>
    <row r="16" spans="1:15" ht="15.75" thickBot="1" x14ac:dyDescent="0.3">
      <c r="A16" s="255" t="s">
        <v>19</v>
      </c>
      <c r="B16" s="259">
        <v>9.0370000000000008</v>
      </c>
      <c r="C16" s="265">
        <v>3.8460000000000001</v>
      </c>
      <c r="D16" s="267">
        <f t="shared" si="0"/>
        <v>12.883000000000001</v>
      </c>
      <c r="E16" s="259">
        <v>1.2999999999999999E-2</v>
      </c>
      <c r="F16" s="265">
        <v>5.0000000000000001E-3</v>
      </c>
      <c r="G16" s="267">
        <f t="shared" si="1"/>
        <v>1.7999999999999999E-2</v>
      </c>
      <c r="H16" s="261">
        <v>5637.55</v>
      </c>
      <c r="I16" s="43">
        <v>4548.66</v>
      </c>
      <c r="J16" s="290">
        <f t="shared" si="2"/>
        <v>10186.209999999999</v>
      </c>
      <c r="K16" s="23">
        <v>15834.24</v>
      </c>
      <c r="L16" s="36">
        <v>12862.33</v>
      </c>
      <c r="M16" s="279">
        <f t="shared" si="3"/>
        <v>28696.57</v>
      </c>
      <c r="N16" s="292">
        <f>J16+M16</f>
        <v>38882.78</v>
      </c>
      <c r="O16" s="279">
        <f t="shared" si="5"/>
        <v>46659.34</v>
      </c>
    </row>
    <row r="17" spans="1:15" ht="15.75" thickBot="1" x14ac:dyDescent="0.3">
      <c r="A17" s="277" t="s">
        <v>11</v>
      </c>
      <c r="B17" s="269">
        <f t="shared" ref="B17:L17" si="6">SUM(B5:B16)</f>
        <v>107.636</v>
      </c>
      <c r="C17" s="268">
        <f>SUM(C5:C16)</f>
        <v>44.864999999999995</v>
      </c>
      <c r="D17" s="34">
        <f>SUM(D5:D16)</f>
        <v>152.501</v>
      </c>
      <c r="E17" s="269">
        <f t="shared" si="6"/>
        <v>0.15800000000000003</v>
      </c>
      <c r="F17" s="268">
        <f t="shared" si="6"/>
        <v>6.3E-2</v>
      </c>
      <c r="G17" s="34">
        <f t="shared" si="6"/>
        <v>0.22099999999999995</v>
      </c>
      <c r="H17" s="293">
        <f t="shared" si="6"/>
        <v>64395.490000000005</v>
      </c>
      <c r="I17" s="55">
        <f>SUM(I5:I16)</f>
        <v>54346.210000000006</v>
      </c>
      <c r="J17" s="210">
        <f t="shared" si="6"/>
        <v>118741.70000000001</v>
      </c>
      <c r="K17" s="37">
        <f t="shared" si="6"/>
        <v>189715.17</v>
      </c>
      <c r="L17" s="55">
        <f t="shared" si="6"/>
        <v>159742.65999999997</v>
      </c>
      <c r="M17" s="210">
        <f t="shared" ref="M17:O17" si="7">SUM(M5:M16)</f>
        <v>349457.83</v>
      </c>
      <c r="N17" s="294">
        <f>SUM(N5:N16)</f>
        <v>468199.53</v>
      </c>
      <c r="O17" s="295">
        <f t="shared" si="7"/>
        <v>561839.47</v>
      </c>
    </row>
    <row r="18" spans="1:15" ht="15.75" thickBot="1" x14ac:dyDescent="0.3"/>
    <row r="19" spans="1:15" ht="31.5" customHeight="1" thickBot="1" x14ac:dyDescent="0.3">
      <c r="A19" s="400" t="s">
        <v>81</v>
      </c>
      <c r="B19" s="419" t="s">
        <v>50</v>
      </c>
      <c r="C19" s="420"/>
      <c r="D19" s="420"/>
      <c r="E19" s="420"/>
      <c r="F19" s="420"/>
      <c r="G19" s="420"/>
      <c r="H19" s="421"/>
    </row>
    <row r="20" spans="1:15" ht="27.75" customHeight="1" thickBot="1" x14ac:dyDescent="0.3">
      <c r="A20" s="401"/>
      <c r="B20" s="416" t="s">
        <v>70</v>
      </c>
      <c r="C20" s="417"/>
      <c r="D20" s="418"/>
      <c r="E20" s="416" t="s">
        <v>71</v>
      </c>
      <c r="F20" s="417"/>
      <c r="G20" s="417"/>
      <c r="H20" s="418"/>
    </row>
    <row r="21" spans="1:15" ht="26.25" thickBot="1" x14ac:dyDescent="0.3">
      <c r="A21" s="402"/>
      <c r="B21" s="273" t="s">
        <v>2</v>
      </c>
      <c r="C21" s="274" t="s">
        <v>3</v>
      </c>
      <c r="D21" s="146" t="s">
        <v>11</v>
      </c>
      <c r="E21" s="287" t="s">
        <v>2</v>
      </c>
      <c r="F21" s="288" t="s">
        <v>3</v>
      </c>
      <c r="G21" s="150" t="s">
        <v>53</v>
      </c>
      <c r="H21" s="151" t="s">
        <v>54</v>
      </c>
    </row>
    <row r="22" spans="1:15" x14ac:dyDescent="0.25">
      <c r="A22" s="252" t="s">
        <v>4</v>
      </c>
      <c r="B22" s="281">
        <v>22.957000000000001</v>
      </c>
      <c r="C22" s="282">
        <v>7.7439999999999998</v>
      </c>
      <c r="D22" s="283">
        <f>SUM(B22:C22)</f>
        <v>30.701000000000001</v>
      </c>
      <c r="E22" s="284">
        <v>62420.54</v>
      </c>
      <c r="F22" s="285">
        <v>41581.72</v>
      </c>
      <c r="G22" s="276">
        <f>SUM(E22:F22)</f>
        <v>104002.26000000001</v>
      </c>
      <c r="H22" s="286">
        <f>ROUND(G22*1.2,2)</f>
        <v>124802.71</v>
      </c>
    </row>
    <row r="23" spans="1:15" x14ac:dyDescent="0.25">
      <c r="A23" s="253" t="s">
        <v>5</v>
      </c>
      <c r="B23" s="33">
        <v>18.048999999999999</v>
      </c>
      <c r="C23" s="46">
        <v>7.1459999999999999</v>
      </c>
      <c r="D23" s="283">
        <f t="shared" ref="D23:D33" si="8">SUM(B23:C23)</f>
        <v>25.195</v>
      </c>
      <c r="E23" s="30">
        <v>49075.59</v>
      </c>
      <c r="F23" s="29">
        <v>38370.730000000003</v>
      </c>
      <c r="G23" s="276">
        <f>SUM(E23:F23)</f>
        <v>87446.32</v>
      </c>
      <c r="H23" s="286">
        <f>ROUND(G23*1.2,2)+0.01</f>
        <v>104935.59</v>
      </c>
    </row>
    <row r="24" spans="1:15" x14ac:dyDescent="0.25">
      <c r="A24" s="253" t="s">
        <v>6</v>
      </c>
      <c r="B24" s="33">
        <v>16.484999999999999</v>
      </c>
      <c r="C24" s="46">
        <v>7.4489999999999998</v>
      </c>
      <c r="D24" s="283">
        <f t="shared" si="8"/>
        <v>23.933999999999997</v>
      </c>
      <c r="E24" s="30">
        <v>44823.040000000001</v>
      </c>
      <c r="F24" s="29">
        <v>39997.699999999997</v>
      </c>
      <c r="G24" s="276">
        <f t="shared" ref="G24:G33" si="9">SUM(E24:F24)</f>
        <v>84820.739999999991</v>
      </c>
      <c r="H24" s="286">
        <f t="shared" ref="H24:H33" si="10">ROUND(G24*1.2,2)</f>
        <v>101784.89</v>
      </c>
    </row>
    <row r="25" spans="1:15" x14ac:dyDescent="0.25">
      <c r="A25" s="253" t="s">
        <v>7</v>
      </c>
      <c r="B25" s="33">
        <v>17.062999999999999</v>
      </c>
      <c r="C25" s="46">
        <v>7.1769999999999996</v>
      </c>
      <c r="D25" s="283">
        <f t="shared" si="8"/>
        <v>24.24</v>
      </c>
      <c r="E25" s="30">
        <v>46394.64</v>
      </c>
      <c r="F25" s="29">
        <v>38537.19</v>
      </c>
      <c r="G25" s="276">
        <f t="shared" si="9"/>
        <v>84931.83</v>
      </c>
      <c r="H25" s="286">
        <f t="shared" si="10"/>
        <v>101918.2</v>
      </c>
      <c r="I25" s="2"/>
      <c r="J25" s="2"/>
      <c r="K25" s="2"/>
      <c r="L25" s="1"/>
    </row>
    <row r="26" spans="1:15" x14ac:dyDescent="0.25">
      <c r="A26" s="253" t="s">
        <v>12</v>
      </c>
      <c r="B26" s="33">
        <v>16.887</v>
      </c>
      <c r="C26" s="46">
        <v>7.609</v>
      </c>
      <c r="D26" s="283">
        <f t="shared" si="8"/>
        <v>24.496000000000002</v>
      </c>
      <c r="E26" s="30">
        <v>45916.09</v>
      </c>
      <c r="F26" s="29">
        <v>40856.83</v>
      </c>
      <c r="G26" s="276">
        <f t="shared" si="9"/>
        <v>86772.92</v>
      </c>
      <c r="H26" s="286">
        <f>ROUND(G26*1.2,2)+0.01</f>
        <v>104127.51</v>
      </c>
    </row>
    <row r="27" spans="1:15" ht="15.75" x14ac:dyDescent="0.25">
      <c r="A27" s="253" t="s">
        <v>13</v>
      </c>
      <c r="B27" s="33">
        <v>18.82</v>
      </c>
      <c r="C27" s="46">
        <v>7.327</v>
      </c>
      <c r="D27" s="283">
        <f t="shared" si="8"/>
        <v>26.146999999999998</v>
      </c>
      <c r="E27" s="30">
        <v>51171.96</v>
      </c>
      <c r="F27" s="29">
        <v>39342.620000000003</v>
      </c>
      <c r="G27" s="276">
        <f t="shared" si="9"/>
        <v>90514.58</v>
      </c>
      <c r="H27" s="286">
        <f>ROUND(G27*1.2,2)-0.01</f>
        <v>108617.49</v>
      </c>
      <c r="I27" s="48"/>
      <c r="J27" s="48"/>
      <c r="K27" s="48"/>
    </row>
    <row r="28" spans="1:15" ht="15.75" x14ac:dyDescent="0.25">
      <c r="A28" s="253" t="s">
        <v>14</v>
      </c>
      <c r="B28" s="33">
        <v>21.591999999999999</v>
      </c>
      <c r="C28" s="46">
        <v>7.8479999999999999</v>
      </c>
      <c r="D28" s="283">
        <f t="shared" si="8"/>
        <v>29.439999999999998</v>
      </c>
      <c r="E28" s="30">
        <v>60470.34</v>
      </c>
      <c r="F28" s="29">
        <v>42140.15</v>
      </c>
      <c r="G28" s="276">
        <f t="shared" si="9"/>
        <v>102610.48999999999</v>
      </c>
      <c r="H28" s="286">
        <f t="shared" si="10"/>
        <v>123132.59</v>
      </c>
      <c r="I28" s="48"/>
      <c r="J28" s="48"/>
      <c r="K28" s="48"/>
    </row>
    <row r="29" spans="1:15" ht="15.75" x14ac:dyDescent="0.25">
      <c r="A29" s="253" t="s">
        <v>15</v>
      </c>
      <c r="B29" s="33">
        <v>19.745000000000001</v>
      </c>
      <c r="C29" s="46">
        <v>7.79</v>
      </c>
      <c r="D29" s="283">
        <f t="shared" si="8"/>
        <v>27.535</v>
      </c>
      <c r="E29" s="30">
        <v>55297.65</v>
      </c>
      <c r="F29" s="29">
        <v>41828.720000000001</v>
      </c>
      <c r="G29" s="276">
        <f t="shared" si="9"/>
        <v>97126.37</v>
      </c>
      <c r="H29" s="286">
        <f t="shared" si="10"/>
        <v>116551.64</v>
      </c>
      <c r="I29" s="48"/>
      <c r="J29" s="48"/>
      <c r="K29" s="48"/>
    </row>
    <row r="30" spans="1:15" ht="15.75" x14ac:dyDescent="0.25">
      <c r="A30" s="253" t="s">
        <v>16</v>
      </c>
      <c r="B30" s="33">
        <v>13.474</v>
      </c>
      <c r="C30" s="46">
        <v>7.7729999999999997</v>
      </c>
      <c r="D30" s="283">
        <f t="shared" si="8"/>
        <v>21.247</v>
      </c>
      <c r="E30" s="30">
        <v>37735.15</v>
      </c>
      <c r="F30" s="29">
        <v>41737.43</v>
      </c>
      <c r="G30" s="276">
        <f t="shared" si="9"/>
        <v>79472.58</v>
      </c>
      <c r="H30" s="286">
        <f t="shared" si="10"/>
        <v>95367.1</v>
      </c>
      <c r="I30" s="48"/>
      <c r="J30" s="48"/>
      <c r="K30" s="48"/>
    </row>
    <row r="31" spans="1:15" x14ac:dyDescent="0.25">
      <c r="A31" s="253" t="s">
        <v>17</v>
      </c>
      <c r="B31" s="33">
        <v>16.991</v>
      </c>
      <c r="C31" s="46">
        <v>7.944</v>
      </c>
      <c r="D31" s="283">
        <f t="shared" si="8"/>
        <v>24.934999999999999</v>
      </c>
      <c r="E31" s="30">
        <v>47584.82</v>
      </c>
      <c r="F31" s="29">
        <v>42655.63</v>
      </c>
      <c r="G31" s="276">
        <f t="shared" si="9"/>
        <v>90240.45</v>
      </c>
      <c r="H31" s="286">
        <f t="shared" si="10"/>
        <v>108288.54</v>
      </c>
    </row>
    <row r="32" spans="1:15" x14ac:dyDescent="0.25">
      <c r="A32" s="253" t="s">
        <v>18</v>
      </c>
      <c r="B32" s="33">
        <v>15.167</v>
      </c>
      <c r="C32" s="46">
        <v>7.3470000000000004</v>
      </c>
      <c r="D32" s="283">
        <f t="shared" si="8"/>
        <v>22.513999999999999</v>
      </c>
      <c r="E32" s="30">
        <v>42476.55</v>
      </c>
      <c r="F32" s="29">
        <v>39450.01</v>
      </c>
      <c r="G32" s="276">
        <f t="shared" si="9"/>
        <v>81926.559999999998</v>
      </c>
      <c r="H32" s="286">
        <f t="shared" si="10"/>
        <v>98311.87</v>
      </c>
    </row>
    <row r="33" spans="1:13" ht="15.75" thickBot="1" x14ac:dyDescent="0.3">
      <c r="A33" s="254" t="s">
        <v>19</v>
      </c>
      <c r="B33" s="278">
        <v>13.7</v>
      </c>
      <c r="C33" s="280">
        <v>7.915</v>
      </c>
      <c r="D33" s="283">
        <f t="shared" si="8"/>
        <v>21.614999999999998</v>
      </c>
      <c r="E33" s="260">
        <v>38368.080000000002</v>
      </c>
      <c r="F33" s="256">
        <v>42499.91</v>
      </c>
      <c r="G33" s="276">
        <f t="shared" si="9"/>
        <v>80867.990000000005</v>
      </c>
      <c r="H33" s="286">
        <f t="shared" si="10"/>
        <v>97041.59</v>
      </c>
    </row>
    <row r="34" spans="1:13" ht="15.75" thickBot="1" x14ac:dyDescent="0.3">
      <c r="A34" s="277" t="s">
        <v>11</v>
      </c>
      <c r="B34" s="269">
        <f t="shared" ref="B34:H34" si="11">SUM(B22:B33)</f>
        <v>210.92999999999998</v>
      </c>
      <c r="C34" s="268">
        <f t="shared" si="11"/>
        <v>91.069000000000003</v>
      </c>
      <c r="D34" s="34">
        <f t="shared" si="11"/>
        <v>301.99900000000002</v>
      </c>
      <c r="E34" s="293">
        <f t="shared" si="11"/>
        <v>581734.44999999995</v>
      </c>
      <c r="F34" s="296">
        <f t="shared" si="11"/>
        <v>488998.64</v>
      </c>
      <c r="G34" s="55">
        <f t="shared" si="11"/>
        <v>1070733.0899999999</v>
      </c>
      <c r="H34" s="295">
        <f t="shared" si="11"/>
        <v>1284879.72</v>
      </c>
    </row>
    <row r="41" spans="1:13" x14ac:dyDescent="0.25">
      <c r="B41" s="2" t="s">
        <v>47</v>
      </c>
      <c r="C41" s="2"/>
      <c r="D41" s="1"/>
      <c r="M41" s="19" t="s">
        <v>0</v>
      </c>
    </row>
  </sheetData>
  <mergeCells count="12">
    <mergeCell ref="K3:M3"/>
    <mergeCell ref="B2:O2"/>
    <mergeCell ref="N3:N4"/>
    <mergeCell ref="O3:O4"/>
    <mergeCell ref="B20:D20"/>
    <mergeCell ref="B19:H19"/>
    <mergeCell ref="E20:H20"/>
    <mergeCell ref="A2:A4"/>
    <mergeCell ref="B3:D3"/>
    <mergeCell ref="E3:G3"/>
    <mergeCell ref="A19:A21"/>
    <mergeCell ref="H3:J3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4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1.28515625" customWidth="1"/>
    <col min="2" max="3" width="9" customWidth="1"/>
    <col min="4" max="4" width="8.85546875" bestFit="1" customWidth="1"/>
    <col min="5" max="5" width="9.85546875" bestFit="1" customWidth="1"/>
    <col min="6" max="6" width="9" customWidth="1"/>
    <col min="7" max="7" width="9.85546875" bestFit="1" customWidth="1"/>
    <col min="8" max="8" width="9.85546875" customWidth="1"/>
    <col min="9" max="10" width="11.28515625" bestFit="1" customWidth="1"/>
    <col min="11" max="11" width="9.85546875" customWidth="1"/>
    <col min="12" max="12" width="12.28515625" bestFit="1" customWidth="1"/>
    <col min="13" max="13" width="15.28515625" bestFit="1" customWidth="1"/>
    <col min="14" max="14" width="12.28515625" bestFit="1" customWidth="1"/>
    <col min="15" max="15" width="12" customWidth="1"/>
    <col min="16" max="17" width="14.42578125" customWidth="1"/>
  </cols>
  <sheetData>
    <row r="1" spans="1:12" ht="15.75" thickBot="1" x14ac:dyDescent="0.3"/>
    <row r="2" spans="1:12" ht="31.5" customHeight="1" thickBot="1" x14ac:dyDescent="0.3">
      <c r="A2" s="400" t="s">
        <v>81</v>
      </c>
      <c r="B2" s="419" t="s">
        <v>72</v>
      </c>
      <c r="C2" s="420"/>
      <c r="D2" s="420"/>
      <c r="E2" s="420"/>
      <c r="F2" s="420"/>
      <c r="G2" s="420"/>
      <c r="H2" s="421"/>
    </row>
    <row r="3" spans="1:12" ht="27.75" customHeight="1" thickBot="1" x14ac:dyDescent="0.3">
      <c r="A3" s="401"/>
      <c r="B3" s="416" t="s">
        <v>70</v>
      </c>
      <c r="C3" s="417"/>
      <c r="D3" s="418"/>
      <c r="E3" s="416" t="s">
        <v>71</v>
      </c>
      <c r="F3" s="417"/>
      <c r="G3" s="417"/>
      <c r="H3" s="418"/>
    </row>
    <row r="4" spans="1:12" ht="26.25" thickBot="1" x14ac:dyDescent="0.3">
      <c r="A4" s="402"/>
      <c r="B4" s="273" t="s">
        <v>42</v>
      </c>
      <c r="C4" s="274" t="s">
        <v>2</v>
      </c>
      <c r="D4" s="146" t="s">
        <v>11</v>
      </c>
      <c r="E4" s="273" t="s">
        <v>42</v>
      </c>
      <c r="F4" s="274" t="s">
        <v>2</v>
      </c>
      <c r="G4" s="150" t="s">
        <v>53</v>
      </c>
      <c r="H4" s="151" t="s">
        <v>54</v>
      </c>
    </row>
    <row r="5" spans="1:12" x14ac:dyDescent="0.25">
      <c r="A5" s="252" t="s">
        <v>4</v>
      </c>
      <c r="B5" s="281">
        <v>7.7249999999999996</v>
      </c>
      <c r="C5" s="282"/>
      <c r="D5" s="283">
        <f>SUM(B5:C5)</f>
        <v>7.7249999999999996</v>
      </c>
      <c r="E5" s="284">
        <v>9401.25</v>
      </c>
      <c r="F5" s="285"/>
      <c r="G5" s="276">
        <f>SUM(E5:F5)</f>
        <v>9401.25</v>
      </c>
      <c r="H5" s="286">
        <f>ROUND(G5*1.2,2)</f>
        <v>11281.5</v>
      </c>
    </row>
    <row r="6" spans="1:12" x14ac:dyDescent="0.25">
      <c r="A6" s="253" t="s">
        <v>5</v>
      </c>
      <c r="B6" s="33">
        <v>0.121</v>
      </c>
      <c r="C6" s="46"/>
      <c r="D6" s="283">
        <f t="shared" ref="D6:D16" si="0">SUM(B6:C6)</f>
        <v>0.121</v>
      </c>
      <c r="E6" s="30">
        <v>147.26</v>
      </c>
      <c r="F6" s="29"/>
      <c r="G6" s="276">
        <f>SUM(E6:F6)</f>
        <v>147.26</v>
      </c>
      <c r="H6" s="286">
        <f t="shared" ref="H6:H16" si="1">ROUND(G6*1.2,2)</f>
        <v>176.71</v>
      </c>
    </row>
    <row r="7" spans="1:12" x14ac:dyDescent="0.25">
      <c r="A7" s="253" t="s">
        <v>6</v>
      </c>
      <c r="B7" s="33">
        <v>14.223000000000001</v>
      </c>
      <c r="C7" s="46"/>
      <c r="D7" s="283">
        <f t="shared" si="0"/>
        <v>14.223000000000001</v>
      </c>
      <c r="E7" s="30">
        <v>17309.25</v>
      </c>
      <c r="F7" s="29"/>
      <c r="G7" s="276">
        <f t="shared" ref="G7:G16" si="2">SUM(E7:F7)</f>
        <v>17309.25</v>
      </c>
      <c r="H7" s="286">
        <f t="shared" si="1"/>
        <v>20771.099999999999</v>
      </c>
    </row>
    <row r="8" spans="1:12" x14ac:dyDescent="0.25">
      <c r="A8" s="253" t="s">
        <v>7</v>
      </c>
      <c r="B8" s="33">
        <v>0.125</v>
      </c>
      <c r="C8" s="46"/>
      <c r="D8" s="283">
        <f t="shared" si="0"/>
        <v>0.125</v>
      </c>
      <c r="E8" s="30">
        <v>152.12</v>
      </c>
      <c r="F8" s="29"/>
      <c r="G8" s="276">
        <f t="shared" si="2"/>
        <v>152.12</v>
      </c>
      <c r="H8" s="286">
        <f t="shared" si="1"/>
        <v>182.54</v>
      </c>
      <c r="I8" s="2"/>
      <c r="J8" s="2"/>
      <c r="K8" s="2"/>
      <c r="L8" s="1"/>
    </row>
    <row r="9" spans="1:12" x14ac:dyDescent="0.25">
      <c r="A9" s="253" t="s">
        <v>12</v>
      </c>
      <c r="B9" s="33">
        <v>4.4249999999999998</v>
      </c>
      <c r="C9" s="46"/>
      <c r="D9" s="283">
        <f t="shared" si="0"/>
        <v>4.4249999999999998</v>
      </c>
      <c r="E9" s="30">
        <v>5385.18</v>
      </c>
      <c r="F9" s="29"/>
      <c r="G9" s="276">
        <f t="shared" si="2"/>
        <v>5385.18</v>
      </c>
      <c r="H9" s="286">
        <f t="shared" si="1"/>
        <v>6462.22</v>
      </c>
    </row>
    <row r="10" spans="1:12" ht="15.75" x14ac:dyDescent="0.25">
      <c r="A10" s="253" t="s">
        <v>13</v>
      </c>
      <c r="B10" s="33">
        <v>0.125</v>
      </c>
      <c r="C10" s="46"/>
      <c r="D10" s="283">
        <f t="shared" si="0"/>
        <v>0.125</v>
      </c>
      <c r="E10" s="30">
        <v>152.12</v>
      </c>
      <c r="F10" s="29"/>
      <c r="G10" s="276">
        <f t="shared" si="2"/>
        <v>152.12</v>
      </c>
      <c r="H10" s="286">
        <f t="shared" si="1"/>
        <v>182.54</v>
      </c>
      <c r="I10" s="48"/>
      <c r="J10" s="48"/>
      <c r="K10" s="48"/>
    </row>
    <row r="11" spans="1:12" ht="15.75" x14ac:dyDescent="0.25">
      <c r="A11" s="253" t="s">
        <v>14</v>
      </c>
      <c r="B11" s="33">
        <v>0.13100000000000001</v>
      </c>
      <c r="C11" s="46"/>
      <c r="D11" s="283">
        <f t="shared" si="0"/>
        <v>0.13100000000000001</v>
      </c>
      <c r="E11" s="30">
        <v>191.31</v>
      </c>
      <c r="F11" s="29"/>
      <c r="G11" s="276">
        <f t="shared" si="2"/>
        <v>191.31</v>
      </c>
      <c r="H11" s="286">
        <f t="shared" si="1"/>
        <v>229.57</v>
      </c>
      <c r="I11" s="48"/>
      <c r="J11" s="48"/>
      <c r="K11" s="48"/>
    </row>
    <row r="12" spans="1:12" ht="15.75" x14ac:dyDescent="0.25">
      <c r="A12" s="253" t="s">
        <v>15</v>
      </c>
      <c r="B12" s="33">
        <v>0.13</v>
      </c>
      <c r="C12" s="46"/>
      <c r="D12" s="283">
        <f t="shared" si="0"/>
        <v>0.13</v>
      </c>
      <c r="E12" s="30">
        <v>189.85</v>
      </c>
      <c r="F12" s="29"/>
      <c r="G12" s="276">
        <f t="shared" si="2"/>
        <v>189.85</v>
      </c>
      <c r="H12" s="286">
        <f t="shared" si="1"/>
        <v>227.82</v>
      </c>
      <c r="I12" s="48"/>
      <c r="J12" s="48"/>
      <c r="K12" s="48"/>
    </row>
    <row r="13" spans="1:12" ht="15.75" x14ac:dyDescent="0.25">
      <c r="A13" s="253" t="s">
        <v>16</v>
      </c>
      <c r="B13" s="33">
        <v>0.60899999999999999</v>
      </c>
      <c r="C13" s="46"/>
      <c r="D13" s="283">
        <f t="shared" si="0"/>
        <v>0.60899999999999999</v>
      </c>
      <c r="E13" s="30">
        <v>889.38</v>
      </c>
      <c r="F13" s="29"/>
      <c r="G13" s="276">
        <f t="shared" si="2"/>
        <v>889.38</v>
      </c>
      <c r="H13" s="286">
        <f t="shared" si="1"/>
        <v>1067.26</v>
      </c>
      <c r="I13" s="48"/>
      <c r="J13" s="48"/>
      <c r="K13" s="48"/>
    </row>
    <row r="14" spans="1:12" x14ac:dyDescent="0.25">
      <c r="A14" s="253" t="s">
        <v>17</v>
      </c>
      <c r="B14" s="33">
        <v>14.003</v>
      </c>
      <c r="C14" s="46"/>
      <c r="D14" s="283">
        <f t="shared" si="0"/>
        <v>14.003</v>
      </c>
      <c r="E14" s="30">
        <v>20449.84</v>
      </c>
      <c r="F14" s="29"/>
      <c r="G14" s="276">
        <f t="shared" si="2"/>
        <v>20449.84</v>
      </c>
      <c r="H14" s="286">
        <f t="shared" si="1"/>
        <v>24539.81</v>
      </c>
    </row>
    <row r="15" spans="1:12" x14ac:dyDescent="0.25">
      <c r="A15" s="253" t="s">
        <v>18</v>
      </c>
      <c r="B15" s="33">
        <v>7.0369999999999999</v>
      </c>
      <c r="C15" s="46"/>
      <c r="D15" s="283">
        <f t="shared" si="0"/>
        <v>7.0369999999999999</v>
      </c>
      <c r="E15" s="30">
        <v>10276.76</v>
      </c>
      <c r="F15" s="29"/>
      <c r="G15" s="276">
        <f t="shared" si="2"/>
        <v>10276.76</v>
      </c>
      <c r="H15" s="286">
        <f t="shared" si="1"/>
        <v>12332.11</v>
      </c>
    </row>
    <row r="16" spans="1:12" ht="15.75" thickBot="1" x14ac:dyDescent="0.3">
      <c r="A16" s="254" t="s">
        <v>19</v>
      </c>
      <c r="B16" s="278">
        <v>0.13100000000000001</v>
      </c>
      <c r="C16" s="280"/>
      <c r="D16" s="283">
        <f t="shared" si="0"/>
        <v>0.13100000000000001</v>
      </c>
      <c r="E16" s="260">
        <v>191.31</v>
      </c>
      <c r="F16" s="256"/>
      <c r="G16" s="276">
        <f t="shared" si="2"/>
        <v>191.31</v>
      </c>
      <c r="H16" s="286">
        <f t="shared" si="1"/>
        <v>229.57</v>
      </c>
    </row>
    <row r="17" spans="1:13" ht="15.75" thickBot="1" x14ac:dyDescent="0.3">
      <c r="A17" s="277" t="s">
        <v>11</v>
      </c>
      <c r="B17" s="269">
        <f t="shared" ref="B17:H17" si="3">SUM(B5:B16)</f>
        <v>48.785000000000004</v>
      </c>
      <c r="C17" s="268">
        <f t="shared" si="3"/>
        <v>0</v>
      </c>
      <c r="D17" s="34">
        <f t="shared" si="3"/>
        <v>48.785000000000004</v>
      </c>
      <c r="E17" s="293">
        <f t="shared" si="3"/>
        <v>64735.63</v>
      </c>
      <c r="F17" s="296">
        <f t="shared" si="3"/>
        <v>0</v>
      </c>
      <c r="G17" s="55">
        <f t="shared" si="3"/>
        <v>64735.63</v>
      </c>
      <c r="H17" s="295">
        <f t="shared" si="3"/>
        <v>77682.750000000015</v>
      </c>
    </row>
    <row r="24" spans="1:13" x14ac:dyDescent="0.25">
      <c r="B24" s="2" t="s">
        <v>47</v>
      </c>
      <c r="C24" s="2"/>
      <c r="D24" s="1"/>
      <c r="M24" s="19" t="s">
        <v>0</v>
      </c>
    </row>
  </sheetData>
  <mergeCells count="4">
    <mergeCell ref="A2:A4"/>
    <mergeCell ref="B2:H2"/>
    <mergeCell ref="B3:D3"/>
    <mergeCell ref="E3:H3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5"/>
  <sheetViews>
    <sheetView view="pageBreakPreview" zoomScale="90" zoomScaleNormal="100" zoomScaleSheetLayoutView="90" workbookViewId="0">
      <selection activeCell="B17" sqref="B17"/>
    </sheetView>
  </sheetViews>
  <sheetFormatPr defaultRowHeight="15" x14ac:dyDescent="0.25"/>
  <cols>
    <col min="1" max="1" width="11.28515625" customWidth="1"/>
    <col min="2" max="3" width="9" customWidth="1"/>
    <col min="4" max="4" width="8.85546875" bestFit="1" customWidth="1"/>
    <col min="5" max="5" width="9.85546875" bestFit="1" customWidth="1"/>
    <col min="6" max="6" width="9" customWidth="1"/>
    <col min="7" max="7" width="9.85546875" bestFit="1" customWidth="1"/>
    <col min="8" max="8" width="9.85546875" customWidth="1"/>
    <col min="9" max="10" width="11.28515625" bestFit="1" customWidth="1"/>
    <col min="11" max="11" width="9.85546875" customWidth="1"/>
    <col min="12" max="12" width="12.28515625" bestFit="1" customWidth="1"/>
    <col min="13" max="13" width="15.28515625" bestFit="1" customWidth="1"/>
    <col min="14" max="14" width="12.28515625" bestFit="1" customWidth="1"/>
    <col min="15" max="15" width="12" customWidth="1"/>
    <col min="16" max="17" width="14.42578125" customWidth="1"/>
  </cols>
  <sheetData>
    <row r="1" spans="1:15" ht="15.75" thickBot="1" x14ac:dyDescent="0.3"/>
    <row r="2" spans="1:15" ht="15.75" thickBot="1" x14ac:dyDescent="0.3">
      <c r="A2" s="400" t="s">
        <v>81</v>
      </c>
      <c r="B2" s="412" t="s">
        <v>75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3"/>
    </row>
    <row r="3" spans="1:15" ht="23.25" customHeight="1" thickBot="1" x14ac:dyDescent="0.3">
      <c r="A3" s="401"/>
      <c r="B3" s="403" t="s">
        <v>33</v>
      </c>
      <c r="C3" s="385"/>
      <c r="D3" s="387"/>
      <c r="E3" s="404" t="s">
        <v>34</v>
      </c>
      <c r="F3" s="405"/>
      <c r="G3" s="406"/>
      <c r="H3" s="407" t="s">
        <v>41</v>
      </c>
      <c r="I3" s="408"/>
      <c r="J3" s="408"/>
      <c r="K3" s="409" t="s">
        <v>43</v>
      </c>
      <c r="L3" s="410"/>
      <c r="M3" s="411"/>
      <c r="N3" s="414" t="s">
        <v>53</v>
      </c>
      <c r="O3" s="414" t="s">
        <v>54</v>
      </c>
    </row>
    <row r="4" spans="1:15" ht="26.25" thickBot="1" x14ac:dyDescent="0.3">
      <c r="A4" s="402"/>
      <c r="B4" s="273" t="s">
        <v>42</v>
      </c>
      <c r="C4" s="274" t="s">
        <v>2</v>
      </c>
      <c r="D4" s="146" t="s">
        <v>11</v>
      </c>
      <c r="E4" s="273" t="s">
        <v>42</v>
      </c>
      <c r="F4" s="274" t="s">
        <v>2</v>
      </c>
      <c r="G4" s="146" t="s">
        <v>11</v>
      </c>
      <c r="H4" s="273" t="s">
        <v>42</v>
      </c>
      <c r="I4" s="274" t="s">
        <v>2</v>
      </c>
      <c r="J4" s="151" t="s">
        <v>53</v>
      </c>
      <c r="K4" s="273" t="s">
        <v>42</v>
      </c>
      <c r="L4" s="274" t="s">
        <v>2</v>
      </c>
      <c r="M4" s="151" t="s">
        <v>53</v>
      </c>
      <c r="N4" s="415"/>
      <c r="O4" s="415"/>
    </row>
    <row r="5" spans="1:15" x14ac:dyDescent="0.25">
      <c r="A5" s="252" t="s">
        <v>4</v>
      </c>
      <c r="B5" s="270"/>
      <c r="C5" s="271">
        <v>890.76800000000003</v>
      </c>
      <c r="D5" s="272">
        <f>SUM(B5:C5)</f>
        <v>890.76800000000003</v>
      </c>
      <c r="E5" s="270"/>
      <c r="F5" s="271">
        <v>1.4590000000000001</v>
      </c>
      <c r="G5" s="272">
        <f>SUM(E5:F5)</f>
        <v>1.4590000000000001</v>
      </c>
      <c r="H5" s="270"/>
      <c r="I5" s="276">
        <v>509813.25</v>
      </c>
      <c r="J5" s="289">
        <f>SUM(H5:I5)</f>
        <v>509813.25</v>
      </c>
      <c r="K5" s="275"/>
      <c r="L5" s="276">
        <v>1725328.53</v>
      </c>
      <c r="M5" s="286">
        <f>SUM(K5:L5)</f>
        <v>1725328.53</v>
      </c>
      <c r="N5" s="291">
        <f>J5+M5</f>
        <v>2235141.7800000003</v>
      </c>
      <c r="O5" s="286">
        <f>ROUND(N5*1.2,2)</f>
        <v>2682170.14</v>
      </c>
    </row>
    <row r="6" spans="1:15" x14ac:dyDescent="0.25">
      <c r="A6" s="253" t="s">
        <v>5</v>
      </c>
      <c r="B6" s="44"/>
      <c r="C6" s="262">
        <v>847.65499999999997</v>
      </c>
      <c r="D6" s="266">
        <f t="shared" ref="D6:D16" si="0">SUM(B6:C6)</f>
        <v>847.65499999999997</v>
      </c>
      <c r="E6" s="44"/>
      <c r="F6" s="264">
        <v>1.401</v>
      </c>
      <c r="G6" s="266">
        <f t="shared" ref="G6:G16" si="1">SUM(E6:F6)</f>
        <v>1.401</v>
      </c>
      <c r="H6" s="44"/>
      <c r="I6" s="31">
        <v>485138.39</v>
      </c>
      <c r="J6" s="22">
        <f t="shared" ref="J6:J16" si="2">SUM(H6:I6)</f>
        <v>485138.39</v>
      </c>
      <c r="K6" s="20"/>
      <c r="L6" s="31">
        <v>1656741.1</v>
      </c>
      <c r="M6" s="211">
        <f t="shared" ref="M6:M16" si="3">SUM(K6:L6)</f>
        <v>1656741.1</v>
      </c>
      <c r="N6" s="21">
        <f t="shared" ref="N6:N14" si="4">J6+M6</f>
        <v>2141879.4900000002</v>
      </c>
      <c r="O6" s="211">
        <f>ROUND(N6*1.2,2)</f>
        <v>2570255.39</v>
      </c>
    </row>
    <row r="7" spans="1:15" s="45" customFormat="1" x14ac:dyDescent="0.25">
      <c r="A7" s="253" t="s">
        <v>6</v>
      </c>
      <c r="B7" s="44"/>
      <c r="C7" s="264">
        <v>735.86400000000003</v>
      </c>
      <c r="D7" s="266">
        <f t="shared" si="0"/>
        <v>735.86400000000003</v>
      </c>
      <c r="E7" s="44"/>
      <c r="F7" s="262">
        <v>1.131</v>
      </c>
      <c r="G7" s="266">
        <f t="shared" si="1"/>
        <v>1.131</v>
      </c>
      <c r="H7" s="44"/>
      <c r="I7" s="31">
        <v>421157.04</v>
      </c>
      <c r="J7" s="22">
        <f t="shared" si="2"/>
        <v>421157.04</v>
      </c>
      <c r="K7" s="20"/>
      <c r="L7" s="31">
        <v>1337454.81</v>
      </c>
      <c r="M7" s="211">
        <f t="shared" si="3"/>
        <v>1337454.81</v>
      </c>
      <c r="N7" s="21">
        <f t="shared" si="4"/>
        <v>1758611.85</v>
      </c>
      <c r="O7" s="211">
        <f t="shared" ref="O7:O16" si="5">ROUND(N7*1.2,2)</f>
        <v>2110334.2200000002</v>
      </c>
    </row>
    <row r="8" spans="1:15" x14ac:dyDescent="0.25">
      <c r="A8" s="253" t="s">
        <v>7</v>
      </c>
      <c r="B8" s="44"/>
      <c r="C8" s="262">
        <v>651.649</v>
      </c>
      <c r="D8" s="266">
        <f t="shared" ref="D8" si="6">SUM(B8:C8)</f>
        <v>651.649</v>
      </c>
      <c r="E8" s="44"/>
      <c r="F8" s="264">
        <v>1.046</v>
      </c>
      <c r="G8" s="266">
        <f t="shared" ref="G8" si="7">SUM(E8:F8)</f>
        <v>1.046</v>
      </c>
      <c r="H8" s="44"/>
      <c r="I8" s="31">
        <v>372958.27</v>
      </c>
      <c r="J8" s="22">
        <f t="shared" ref="J8" si="8">SUM(H8:I8)</f>
        <v>372958.27</v>
      </c>
      <c r="K8" s="20"/>
      <c r="L8" s="31">
        <v>1236938.75</v>
      </c>
      <c r="M8" s="211">
        <f t="shared" ref="M8" si="9">SUM(K8:L8)</f>
        <v>1236938.75</v>
      </c>
      <c r="N8" s="21">
        <f t="shared" ref="N8" si="10">J8+M8</f>
        <v>1609897.02</v>
      </c>
      <c r="O8" s="211">
        <f t="shared" ref="O8" si="11">ROUND(N8*1.2,2)</f>
        <v>1931876.42</v>
      </c>
    </row>
    <row r="9" spans="1:15" x14ac:dyDescent="0.25">
      <c r="A9" s="253" t="s">
        <v>12</v>
      </c>
      <c r="B9" s="44"/>
      <c r="C9" s="262">
        <v>652.18899999999996</v>
      </c>
      <c r="D9" s="266">
        <f t="shared" si="0"/>
        <v>652.18899999999996</v>
      </c>
      <c r="E9" s="44"/>
      <c r="F9" s="264">
        <v>0.98</v>
      </c>
      <c r="G9" s="266">
        <f t="shared" si="1"/>
        <v>0.98</v>
      </c>
      <c r="H9" s="44"/>
      <c r="I9" s="31">
        <v>373267.33</v>
      </c>
      <c r="J9" s="22">
        <f t="shared" si="2"/>
        <v>373267.33</v>
      </c>
      <c r="K9" s="20"/>
      <c r="L9" s="31">
        <v>1158890.99</v>
      </c>
      <c r="M9" s="211">
        <f t="shared" si="3"/>
        <v>1158890.99</v>
      </c>
      <c r="N9" s="21">
        <f t="shared" si="4"/>
        <v>1532158.32</v>
      </c>
      <c r="O9" s="211">
        <f>ROUND(N9*1.2,2)+0.01</f>
        <v>1838589.99</v>
      </c>
    </row>
    <row r="10" spans="1:15" x14ac:dyDescent="0.25">
      <c r="A10" s="253" t="s">
        <v>13</v>
      </c>
      <c r="B10" s="44"/>
      <c r="C10" s="262">
        <v>709.721</v>
      </c>
      <c r="D10" s="266">
        <f t="shared" si="0"/>
        <v>709.721</v>
      </c>
      <c r="E10" s="44"/>
      <c r="F10" s="262">
        <v>1.093</v>
      </c>
      <c r="G10" s="266">
        <f t="shared" si="1"/>
        <v>1.093</v>
      </c>
      <c r="H10" s="44"/>
      <c r="I10" s="31">
        <v>406194.62</v>
      </c>
      <c r="J10" s="22">
        <f t="shared" si="2"/>
        <v>406194.62</v>
      </c>
      <c r="K10" s="20"/>
      <c r="L10" s="31">
        <v>1292518.22</v>
      </c>
      <c r="M10" s="211">
        <f t="shared" si="3"/>
        <v>1292518.22</v>
      </c>
      <c r="N10" s="21">
        <f t="shared" si="4"/>
        <v>1698712.8399999999</v>
      </c>
      <c r="O10" s="211">
        <f>ROUND(N10*1.2,2)-0.01</f>
        <v>2038455.4</v>
      </c>
    </row>
    <row r="11" spans="1:15" x14ac:dyDescent="0.25">
      <c r="A11" s="253" t="s">
        <v>14</v>
      </c>
      <c r="B11" s="44"/>
      <c r="C11" s="262">
        <v>812.95899999999995</v>
      </c>
      <c r="D11" s="266">
        <f t="shared" si="0"/>
        <v>812.95899999999995</v>
      </c>
      <c r="E11" s="44"/>
      <c r="F11" s="264">
        <v>1.22</v>
      </c>
      <c r="G11" s="266">
        <f t="shared" si="1"/>
        <v>1.22</v>
      </c>
      <c r="H11" s="20"/>
      <c r="I11" s="31">
        <v>507148.21</v>
      </c>
      <c r="J11" s="22">
        <f t="shared" si="2"/>
        <v>507148.21</v>
      </c>
      <c r="K11" s="20"/>
      <c r="L11" s="31">
        <v>1485982.06</v>
      </c>
      <c r="M11" s="211">
        <f t="shared" si="3"/>
        <v>1485982.06</v>
      </c>
      <c r="N11" s="21">
        <f t="shared" si="4"/>
        <v>1993130.27</v>
      </c>
      <c r="O11" s="211">
        <f t="shared" si="5"/>
        <v>2391756.3199999998</v>
      </c>
    </row>
    <row r="12" spans="1:15" s="45" customFormat="1" x14ac:dyDescent="0.25">
      <c r="A12" s="253" t="s">
        <v>15</v>
      </c>
      <c r="B12" s="44"/>
      <c r="C12" s="264">
        <v>787.68600000000004</v>
      </c>
      <c r="D12" s="266">
        <f t="shared" si="0"/>
        <v>787.68600000000004</v>
      </c>
      <c r="E12" s="44"/>
      <c r="F12" s="262">
        <v>1.171</v>
      </c>
      <c r="G12" s="266">
        <f t="shared" si="1"/>
        <v>1.171</v>
      </c>
      <c r="H12" s="20"/>
      <c r="I12" s="31">
        <v>491382.16</v>
      </c>
      <c r="J12" s="22">
        <f t="shared" si="2"/>
        <v>491382.16</v>
      </c>
      <c r="K12" s="20"/>
      <c r="L12" s="31">
        <v>1426299.17</v>
      </c>
      <c r="M12" s="211">
        <f t="shared" si="3"/>
        <v>1426299.17</v>
      </c>
      <c r="N12" s="21">
        <f t="shared" si="4"/>
        <v>1917681.3299999998</v>
      </c>
      <c r="O12" s="211">
        <f>ROUND(N12*1.2,2)-0.01</f>
        <v>2301217.5900000003</v>
      </c>
    </row>
    <row r="13" spans="1:15" x14ac:dyDescent="0.25">
      <c r="A13" s="253" t="s">
        <v>16</v>
      </c>
      <c r="B13" s="257"/>
      <c r="C13" s="263">
        <v>693.30499999999995</v>
      </c>
      <c r="D13" s="266">
        <f t="shared" si="0"/>
        <v>693.30499999999995</v>
      </c>
      <c r="E13" s="44"/>
      <c r="F13" s="264">
        <v>1.0760000000000001</v>
      </c>
      <c r="G13" s="266">
        <f t="shared" si="1"/>
        <v>1.0760000000000001</v>
      </c>
      <c r="H13" s="20"/>
      <c r="I13" s="31">
        <v>432504.46</v>
      </c>
      <c r="J13" s="22">
        <f t="shared" si="2"/>
        <v>432504.46</v>
      </c>
      <c r="K13" s="20"/>
      <c r="L13" s="31">
        <v>1310587.45</v>
      </c>
      <c r="M13" s="211">
        <f t="shared" si="3"/>
        <v>1310587.45</v>
      </c>
      <c r="N13" s="21">
        <f t="shared" si="4"/>
        <v>1743091.91</v>
      </c>
      <c r="O13" s="211">
        <f t="shared" si="5"/>
        <v>2091710.29</v>
      </c>
    </row>
    <row r="14" spans="1:15" x14ac:dyDescent="0.25">
      <c r="A14" s="253" t="s">
        <v>17</v>
      </c>
      <c r="B14" s="258"/>
      <c r="C14" s="264">
        <v>704.67499999999995</v>
      </c>
      <c r="D14" s="266">
        <f t="shared" si="0"/>
        <v>704.67499999999995</v>
      </c>
      <c r="E14" s="44"/>
      <c r="F14" s="262">
        <v>1.0669999999999999</v>
      </c>
      <c r="G14" s="266">
        <f t="shared" si="1"/>
        <v>1.0669999999999999</v>
      </c>
      <c r="H14" s="20"/>
      <c r="I14" s="31">
        <v>439597.41</v>
      </c>
      <c r="J14" s="22">
        <f t="shared" si="2"/>
        <v>439597.41</v>
      </c>
      <c r="K14" s="20"/>
      <c r="L14" s="31">
        <v>1299625.29</v>
      </c>
      <c r="M14" s="211">
        <f t="shared" si="3"/>
        <v>1299625.29</v>
      </c>
      <c r="N14" s="21">
        <f t="shared" si="4"/>
        <v>1739222.7</v>
      </c>
      <c r="O14" s="211">
        <f t="shared" si="5"/>
        <v>2087067.24</v>
      </c>
    </row>
    <row r="15" spans="1:15" x14ac:dyDescent="0.25">
      <c r="A15" s="253" t="s">
        <v>18</v>
      </c>
      <c r="B15" s="44"/>
      <c r="C15" s="262">
        <v>741.37900000000002</v>
      </c>
      <c r="D15" s="266">
        <f t="shared" si="0"/>
        <v>741.37900000000002</v>
      </c>
      <c r="E15" s="44"/>
      <c r="F15" s="262">
        <v>1.17</v>
      </c>
      <c r="G15" s="266">
        <v>0</v>
      </c>
      <c r="H15" s="20"/>
      <c r="I15" s="31">
        <v>462494.46</v>
      </c>
      <c r="J15" s="22">
        <f t="shared" si="2"/>
        <v>462494.46</v>
      </c>
      <c r="K15" s="20"/>
      <c r="L15" s="31">
        <v>1425081.15</v>
      </c>
      <c r="M15" s="211">
        <f t="shared" si="3"/>
        <v>1425081.15</v>
      </c>
      <c r="N15" s="21">
        <f>J15+M15</f>
        <v>1887575.6099999999</v>
      </c>
      <c r="O15" s="211">
        <f t="shared" si="5"/>
        <v>2265090.73</v>
      </c>
    </row>
    <row r="16" spans="1:15" ht="15.75" thickBot="1" x14ac:dyDescent="0.3">
      <c r="A16" s="255" t="s">
        <v>19</v>
      </c>
      <c r="B16" s="259"/>
      <c r="C16" s="265">
        <v>861.53899999999999</v>
      </c>
      <c r="D16" s="267">
        <f t="shared" si="0"/>
        <v>861.53899999999999</v>
      </c>
      <c r="E16" s="259"/>
      <c r="F16" s="265">
        <v>1.363</v>
      </c>
      <c r="G16" s="267">
        <f t="shared" si="1"/>
        <v>1.363</v>
      </c>
      <c r="H16" s="261"/>
      <c r="I16" s="43">
        <v>537453.87</v>
      </c>
      <c r="J16" s="290">
        <f t="shared" si="2"/>
        <v>537453.87</v>
      </c>
      <c r="K16" s="23"/>
      <c r="L16" s="36">
        <v>1660158.64</v>
      </c>
      <c r="M16" s="279">
        <f t="shared" si="3"/>
        <v>1660158.64</v>
      </c>
      <c r="N16" s="292">
        <f>J16+M16</f>
        <v>2197612.5099999998</v>
      </c>
      <c r="O16" s="279">
        <f t="shared" si="5"/>
        <v>2637135.0099999998</v>
      </c>
    </row>
    <row r="17" spans="1:15" ht="15.75" thickBot="1" x14ac:dyDescent="0.3">
      <c r="A17" s="277" t="s">
        <v>11</v>
      </c>
      <c r="B17" s="269">
        <f t="shared" ref="B17:O17" si="12">SUM(B5:B16)</f>
        <v>0</v>
      </c>
      <c r="C17" s="268">
        <f>SUM(C5:C16)</f>
        <v>9089.389000000001</v>
      </c>
      <c r="D17" s="34">
        <f>SUM(D5:D16)</f>
        <v>9089.389000000001</v>
      </c>
      <c r="E17" s="269">
        <f t="shared" si="12"/>
        <v>0</v>
      </c>
      <c r="F17" s="268">
        <f t="shared" si="12"/>
        <v>14.177000000000001</v>
      </c>
      <c r="G17" s="34">
        <f t="shared" si="12"/>
        <v>13.007000000000001</v>
      </c>
      <c r="H17" s="293">
        <f t="shared" si="12"/>
        <v>0</v>
      </c>
      <c r="I17" s="55">
        <f>SUM(I5:I16)</f>
        <v>5439109.4699999997</v>
      </c>
      <c r="J17" s="210">
        <f t="shared" si="12"/>
        <v>5439109.4699999997</v>
      </c>
      <c r="K17" s="37">
        <f t="shared" si="12"/>
        <v>0</v>
      </c>
      <c r="L17" s="55">
        <f t="shared" si="12"/>
        <v>17015606.16</v>
      </c>
      <c r="M17" s="210">
        <f t="shared" si="12"/>
        <v>17015606.16</v>
      </c>
      <c r="N17" s="294">
        <f>SUM(N5:N16)</f>
        <v>22454715.630000003</v>
      </c>
      <c r="O17" s="295">
        <f t="shared" si="12"/>
        <v>26945658.740000002</v>
      </c>
    </row>
    <row r="25" spans="1:15" x14ac:dyDescent="0.25">
      <c r="B25" s="2" t="s">
        <v>47</v>
      </c>
      <c r="C25" s="2"/>
      <c r="D25" s="1"/>
      <c r="M25" s="19" t="s">
        <v>0</v>
      </c>
    </row>
  </sheetData>
  <mergeCells count="8">
    <mergeCell ref="A2:A4"/>
    <mergeCell ref="B2:O2"/>
    <mergeCell ref="B3:D3"/>
    <mergeCell ref="E3:G3"/>
    <mergeCell ref="H3:J3"/>
    <mergeCell ref="K3:M3"/>
    <mergeCell ref="N3:N4"/>
    <mergeCell ref="O3:O4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9451-331A-4F61-B914-004B77994C58}">
  <sheetPr>
    <pageSetUpPr fitToPage="1"/>
  </sheetPr>
  <dimension ref="A1:O25"/>
  <sheetViews>
    <sheetView view="pageBreakPreview" zoomScale="90" zoomScaleNormal="100" zoomScaleSheetLayoutView="90" workbookViewId="0">
      <selection activeCell="H32" sqref="H32"/>
    </sheetView>
  </sheetViews>
  <sheetFormatPr defaultRowHeight="15" x14ac:dyDescent="0.25"/>
  <cols>
    <col min="1" max="1" width="11.28515625" customWidth="1"/>
    <col min="2" max="3" width="9" customWidth="1"/>
    <col min="4" max="4" width="8.85546875" bestFit="1" customWidth="1"/>
    <col min="5" max="5" width="9.85546875" bestFit="1" customWidth="1"/>
    <col min="6" max="6" width="9" customWidth="1"/>
    <col min="7" max="7" width="9.85546875" bestFit="1" customWidth="1"/>
    <col min="8" max="8" width="9.85546875" customWidth="1"/>
    <col min="9" max="10" width="11.28515625" bestFit="1" customWidth="1"/>
    <col min="11" max="11" width="9.85546875" customWidth="1"/>
    <col min="12" max="12" width="12.28515625" bestFit="1" customWidth="1"/>
    <col min="13" max="13" width="15.28515625" bestFit="1" customWidth="1"/>
    <col min="14" max="14" width="12.28515625" bestFit="1" customWidth="1"/>
    <col min="15" max="15" width="12" customWidth="1"/>
    <col min="16" max="17" width="14.42578125" customWidth="1"/>
  </cols>
  <sheetData>
    <row r="1" spans="1:15" ht="15.75" thickBot="1" x14ac:dyDescent="0.3"/>
    <row r="2" spans="1:15" ht="15.75" thickBot="1" x14ac:dyDescent="0.3">
      <c r="A2" s="400" t="s">
        <v>81</v>
      </c>
      <c r="B2" s="412" t="s">
        <v>88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3"/>
    </row>
    <row r="3" spans="1:15" ht="23.25" customHeight="1" thickBot="1" x14ac:dyDescent="0.3">
      <c r="A3" s="401"/>
      <c r="B3" s="403" t="s">
        <v>33</v>
      </c>
      <c r="C3" s="385"/>
      <c r="D3" s="387"/>
      <c r="E3" s="404" t="s">
        <v>34</v>
      </c>
      <c r="F3" s="405"/>
      <c r="G3" s="406"/>
      <c r="H3" s="407" t="s">
        <v>41</v>
      </c>
      <c r="I3" s="408"/>
      <c r="J3" s="408"/>
      <c r="K3" s="409" t="s">
        <v>43</v>
      </c>
      <c r="L3" s="410"/>
      <c r="M3" s="411"/>
      <c r="N3" s="414" t="s">
        <v>53</v>
      </c>
      <c r="O3" s="414" t="s">
        <v>54</v>
      </c>
    </row>
    <row r="4" spans="1:15" ht="26.25" thickBot="1" x14ac:dyDescent="0.3">
      <c r="A4" s="402"/>
      <c r="B4" s="273" t="s">
        <v>42</v>
      </c>
      <c r="C4" s="274" t="s">
        <v>2</v>
      </c>
      <c r="D4" s="146" t="s">
        <v>11</v>
      </c>
      <c r="E4" s="273" t="s">
        <v>42</v>
      </c>
      <c r="F4" s="274" t="s">
        <v>2</v>
      </c>
      <c r="G4" s="146" t="s">
        <v>11</v>
      </c>
      <c r="H4" s="273" t="s">
        <v>42</v>
      </c>
      <c r="I4" s="274" t="s">
        <v>2</v>
      </c>
      <c r="J4" s="151" t="s">
        <v>53</v>
      </c>
      <c r="K4" s="273" t="s">
        <v>42</v>
      </c>
      <c r="L4" s="274" t="s">
        <v>2</v>
      </c>
      <c r="M4" s="151" t="s">
        <v>53</v>
      </c>
      <c r="N4" s="415"/>
      <c r="O4" s="415"/>
    </row>
    <row r="5" spans="1:15" x14ac:dyDescent="0.25">
      <c r="A5" s="252" t="s">
        <v>4</v>
      </c>
      <c r="B5" s="270"/>
      <c r="C5" s="314">
        <v>0</v>
      </c>
      <c r="D5" s="272">
        <f>SUM(B5:C5)</f>
        <v>0</v>
      </c>
      <c r="E5" s="270"/>
      <c r="F5" s="314">
        <v>0</v>
      </c>
      <c r="G5" s="272">
        <f>SUM(E5:F5)</f>
        <v>0</v>
      </c>
      <c r="H5" s="270"/>
      <c r="I5" s="276">
        <v>0</v>
      </c>
      <c r="J5" s="289">
        <f>SUM(H5:I5)</f>
        <v>0</v>
      </c>
      <c r="K5" s="275"/>
      <c r="L5" s="276">
        <v>0</v>
      </c>
      <c r="M5" s="286">
        <f>SUM(K5:L5)</f>
        <v>0</v>
      </c>
      <c r="N5" s="291">
        <f>J5+M5</f>
        <v>0</v>
      </c>
      <c r="O5" s="286">
        <f>ROUND(N5*1.2,2)</f>
        <v>0</v>
      </c>
    </row>
    <row r="6" spans="1:15" x14ac:dyDescent="0.25">
      <c r="A6" s="253" t="s">
        <v>5</v>
      </c>
      <c r="B6" s="44"/>
      <c r="C6" s="264">
        <v>1.2E-2</v>
      </c>
      <c r="D6" s="266">
        <f t="shared" ref="D6:D16" si="0">SUM(B6:C6)</f>
        <v>1.2E-2</v>
      </c>
      <c r="E6" s="44"/>
      <c r="F6" s="264">
        <v>0</v>
      </c>
      <c r="G6" s="266">
        <f t="shared" ref="G6:G16" si="1">SUM(E6:F6)</f>
        <v>0</v>
      </c>
      <c r="H6" s="44"/>
      <c r="I6" s="31">
        <v>6.87</v>
      </c>
      <c r="J6" s="22">
        <f t="shared" ref="J6:J16" si="2">SUM(H6:I6)</f>
        <v>6.87</v>
      </c>
      <c r="K6" s="20"/>
      <c r="L6" s="31">
        <v>0</v>
      </c>
      <c r="M6" s="211">
        <f t="shared" ref="M6:M16" si="3">SUM(K6:L6)</f>
        <v>0</v>
      </c>
      <c r="N6" s="21">
        <f t="shared" ref="N6:N15" si="4">J6+M6</f>
        <v>6.87</v>
      </c>
      <c r="O6" s="211">
        <f>ROUND(N6*1.2,2)</f>
        <v>8.24</v>
      </c>
    </row>
    <row r="7" spans="1:15" s="45" customFormat="1" x14ac:dyDescent="0.25">
      <c r="A7" s="253" t="s">
        <v>6</v>
      </c>
      <c r="B7" s="44"/>
      <c r="C7" s="264">
        <v>0</v>
      </c>
      <c r="D7" s="266">
        <f t="shared" si="0"/>
        <v>0</v>
      </c>
      <c r="E7" s="44"/>
      <c r="F7" s="264">
        <v>0</v>
      </c>
      <c r="G7" s="266">
        <f t="shared" si="1"/>
        <v>0</v>
      </c>
      <c r="H7" s="44"/>
      <c r="I7" s="31">
        <v>0</v>
      </c>
      <c r="J7" s="22">
        <f t="shared" si="2"/>
        <v>0</v>
      </c>
      <c r="K7" s="20"/>
      <c r="L7" s="31">
        <v>0</v>
      </c>
      <c r="M7" s="211">
        <f t="shared" si="3"/>
        <v>0</v>
      </c>
      <c r="N7" s="21">
        <f t="shared" si="4"/>
        <v>0</v>
      </c>
      <c r="O7" s="211">
        <f t="shared" ref="O7:O16" si="5">ROUND(N7*1.2,2)</f>
        <v>0</v>
      </c>
    </row>
    <row r="8" spans="1:15" x14ac:dyDescent="0.25">
      <c r="A8" s="253" t="s">
        <v>7</v>
      </c>
      <c r="B8" s="44"/>
      <c r="C8" s="264">
        <v>1.2E-2</v>
      </c>
      <c r="D8" s="266">
        <f t="shared" si="0"/>
        <v>1.2E-2</v>
      </c>
      <c r="E8" s="44"/>
      <c r="F8" s="264">
        <v>0</v>
      </c>
      <c r="G8" s="266">
        <f t="shared" si="1"/>
        <v>0</v>
      </c>
      <c r="H8" s="44"/>
      <c r="I8" s="31">
        <v>6.87</v>
      </c>
      <c r="J8" s="22">
        <f t="shared" si="2"/>
        <v>6.87</v>
      </c>
      <c r="K8" s="20"/>
      <c r="L8" s="31">
        <v>0</v>
      </c>
      <c r="M8" s="211">
        <f t="shared" si="3"/>
        <v>0</v>
      </c>
      <c r="N8" s="21">
        <f t="shared" si="4"/>
        <v>6.87</v>
      </c>
      <c r="O8" s="211">
        <f t="shared" si="5"/>
        <v>8.24</v>
      </c>
    </row>
    <row r="9" spans="1:15" x14ac:dyDescent="0.25">
      <c r="A9" s="253" t="s">
        <v>12</v>
      </c>
      <c r="B9" s="44"/>
      <c r="C9" s="264">
        <v>0</v>
      </c>
      <c r="D9" s="266">
        <f t="shared" si="0"/>
        <v>0</v>
      </c>
      <c r="E9" s="44"/>
      <c r="F9" s="264">
        <v>0</v>
      </c>
      <c r="G9" s="266">
        <f t="shared" si="1"/>
        <v>0</v>
      </c>
      <c r="H9" s="44"/>
      <c r="I9" s="31">
        <v>0</v>
      </c>
      <c r="J9" s="22">
        <f t="shared" si="2"/>
        <v>0</v>
      </c>
      <c r="K9" s="20"/>
      <c r="L9" s="31">
        <v>0</v>
      </c>
      <c r="M9" s="211">
        <f t="shared" si="3"/>
        <v>0</v>
      </c>
      <c r="N9" s="21">
        <f t="shared" si="4"/>
        <v>0</v>
      </c>
      <c r="O9" s="211">
        <f t="shared" si="5"/>
        <v>0</v>
      </c>
    </row>
    <row r="10" spans="1:15" x14ac:dyDescent="0.25">
      <c r="A10" s="253" t="s">
        <v>13</v>
      </c>
      <c r="B10" s="44"/>
      <c r="C10" s="264">
        <v>1.2E-2</v>
      </c>
      <c r="D10" s="266">
        <f t="shared" si="0"/>
        <v>1.2E-2</v>
      </c>
      <c r="E10" s="44"/>
      <c r="F10" s="264">
        <v>0</v>
      </c>
      <c r="G10" s="266">
        <f t="shared" si="1"/>
        <v>0</v>
      </c>
      <c r="H10" s="44"/>
      <c r="I10" s="31">
        <v>6.87</v>
      </c>
      <c r="J10" s="22">
        <f t="shared" si="2"/>
        <v>6.87</v>
      </c>
      <c r="K10" s="20"/>
      <c r="L10" s="31">
        <v>0</v>
      </c>
      <c r="M10" s="211">
        <f t="shared" si="3"/>
        <v>0</v>
      </c>
      <c r="N10" s="21">
        <f t="shared" si="4"/>
        <v>6.87</v>
      </c>
      <c r="O10" s="211">
        <f t="shared" si="5"/>
        <v>8.24</v>
      </c>
    </row>
    <row r="11" spans="1:15" x14ac:dyDescent="0.25">
      <c r="A11" s="253" t="s">
        <v>14</v>
      </c>
      <c r="B11" s="44"/>
      <c r="C11" s="264">
        <v>0</v>
      </c>
      <c r="D11" s="266">
        <f t="shared" si="0"/>
        <v>0</v>
      </c>
      <c r="E11" s="44"/>
      <c r="F11" s="264">
        <v>0</v>
      </c>
      <c r="G11" s="266">
        <f t="shared" si="1"/>
        <v>0</v>
      </c>
      <c r="H11" s="20"/>
      <c r="I11" s="31">
        <v>0</v>
      </c>
      <c r="J11" s="22">
        <f t="shared" si="2"/>
        <v>0</v>
      </c>
      <c r="K11" s="20"/>
      <c r="L11" s="31">
        <v>0</v>
      </c>
      <c r="M11" s="211">
        <f t="shared" si="3"/>
        <v>0</v>
      </c>
      <c r="N11" s="21">
        <f t="shared" si="4"/>
        <v>0</v>
      </c>
      <c r="O11" s="211">
        <f t="shared" si="5"/>
        <v>0</v>
      </c>
    </row>
    <row r="12" spans="1:15" s="45" customFormat="1" x14ac:dyDescent="0.25">
      <c r="A12" s="253" t="s">
        <v>15</v>
      </c>
      <c r="B12" s="44"/>
      <c r="C12" s="264">
        <v>0</v>
      </c>
      <c r="D12" s="266">
        <f t="shared" si="0"/>
        <v>0</v>
      </c>
      <c r="E12" s="44"/>
      <c r="F12" s="264">
        <v>0</v>
      </c>
      <c r="G12" s="266">
        <f t="shared" si="1"/>
        <v>0</v>
      </c>
      <c r="H12" s="20"/>
      <c r="I12" s="31">
        <v>0</v>
      </c>
      <c r="J12" s="22">
        <f t="shared" si="2"/>
        <v>0</v>
      </c>
      <c r="K12" s="20"/>
      <c r="L12" s="31">
        <v>0</v>
      </c>
      <c r="M12" s="211">
        <f t="shared" si="3"/>
        <v>0</v>
      </c>
      <c r="N12" s="21">
        <f t="shared" si="4"/>
        <v>0</v>
      </c>
      <c r="O12" s="211">
        <f t="shared" si="5"/>
        <v>0</v>
      </c>
    </row>
    <row r="13" spans="1:15" x14ac:dyDescent="0.25">
      <c r="A13" s="253" t="s">
        <v>16</v>
      </c>
      <c r="B13" s="257"/>
      <c r="C13" s="315">
        <v>1.2E-2</v>
      </c>
      <c r="D13" s="266">
        <f t="shared" si="0"/>
        <v>1.2E-2</v>
      </c>
      <c r="E13" s="44"/>
      <c r="F13" s="264">
        <v>0</v>
      </c>
      <c r="G13" s="266">
        <f t="shared" si="1"/>
        <v>0</v>
      </c>
      <c r="H13" s="20"/>
      <c r="I13" s="31">
        <v>7.49</v>
      </c>
      <c r="J13" s="22">
        <f t="shared" si="2"/>
        <v>7.49</v>
      </c>
      <c r="K13" s="20"/>
      <c r="L13" s="31">
        <v>0</v>
      </c>
      <c r="M13" s="211">
        <f t="shared" si="3"/>
        <v>0</v>
      </c>
      <c r="N13" s="21">
        <f t="shared" si="4"/>
        <v>7.49</v>
      </c>
      <c r="O13" s="211">
        <f t="shared" si="5"/>
        <v>8.99</v>
      </c>
    </row>
    <row r="14" spans="1:15" x14ac:dyDescent="0.25">
      <c r="A14" s="253" t="s">
        <v>17</v>
      </c>
      <c r="B14" s="258"/>
      <c r="C14" s="264">
        <v>0</v>
      </c>
      <c r="D14" s="266">
        <f t="shared" si="0"/>
        <v>0</v>
      </c>
      <c r="E14" s="44"/>
      <c r="F14" s="264">
        <v>0</v>
      </c>
      <c r="G14" s="266">
        <f t="shared" si="1"/>
        <v>0</v>
      </c>
      <c r="H14" s="20"/>
      <c r="I14" s="31">
        <v>0</v>
      </c>
      <c r="J14" s="22">
        <f t="shared" si="2"/>
        <v>0</v>
      </c>
      <c r="K14" s="20"/>
      <c r="L14" s="31">
        <v>0</v>
      </c>
      <c r="M14" s="211">
        <f t="shared" si="3"/>
        <v>0</v>
      </c>
      <c r="N14" s="21">
        <f t="shared" si="4"/>
        <v>0</v>
      </c>
      <c r="O14" s="211">
        <f t="shared" si="5"/>
        <v>0</v>
      </c>
    </row>
    <row r="15" spans="1:15" x14ac:dyDescent="0.25">
      <c r="A15" s="253" t="s">
        <v>18</v>
      </c>
      <c r="B15" s="44"/>
      <c r="C15" s="264">
        <v>1.2E-2</v>
      </c>
      <c r="D15" s="266">
        <f t="shared" si="0"/>
        <v>1.2E-2</v>
      </c>
      <c r="E15" s="44"/>
      <c r="F15" s="264">
        <v>0</v>
      </c>
      <c r="G15" s="266">
        <f t="shared" si="1"/>
        <v>0</v>
      </c>
      <c r="H15" s="20"/>
      <c r="I15" s="31">
        <v>7.49</v>
      </c>
      <c r="J15" s="22">
        <f t="shared" si="2"/>
        <v>7.49</v>
      </c>
      <c r="K15" s="20"/>
      <c r="L15" s="31">
        <v>0</v>
      </c>
      <c r="M15" s="211">
        <f t="shared" si="3"/>
        <v>0</v>
      </c>
      <c r="N15" s="21">
        <f t="shared" si="4"/>
        <v>7.49</v>
      </c>
      <c r="O15" s="211">
        <f t="shared" si="5"/>
        <v>8.99</v>
      </c>
    </row>
    <row r="16" spans="1:15" ht="15.75" thickBot="1" x14ac:dyDescent="0.3">
      <c r="A16" s="255" t="s">
        <v>19</v>
      </c>
      <c r="B16" s="259"/>
      <c r="C16" s="265">
        <v>2.4E-2</v>
      </c>
      <c r="D16" s="267">
        <f t="shared" si="0"/>
        <v>2.4E-2</v>
      </c>
      <c r="E16" s="259"/>
      <c r="F16" s="264">
        <v>0</v>
      </c>
      <c r="G16" s="267">
        <f t="shared" si="1"/>
        <v>0</v>
      </c>
      <c r="H16" s="261"/>
      <c r="I16" s="43">
        <v>14.97</v>
      </c>
      <c r="J16" s="290">
        <f t="shared" si="2"/>
        <v>14.97</v>
      </c>
      <c r="K16" s="23"/>
      <c r="L16" s="36">
        <v>0</v>
      </c>
      <c r="M16" s="279">
        <f t="shared" si="3"/>
        <v>0</v>
      </c>
      <c r="N16" s="292">
        <f>J16+M16</f>
        <v>14.97</v>
      </c>
      <c r="O16" s="279">
        <f t="shared" si="5"/>
        <v>17.96</v>
      </c>
    </row>
    <row r="17" spans="1:15" ht="15.75" thickBot="1" x14ac:dyDescent="0.3">
      <c r="A17" s="277" t="s">
        <v>11</v>
      </c>
      <c r="B17" s="269">
        <f t="shared" ref="B17:O17" si="6">SUM(B5:B16)</f>
        <v>0</v>
      </c>
      <c r="C17" s="268">
        <f>SUM(C5:C16)</f>
        <v>8.3999999999999991E-2</v>
      </c>
      <c r="D17" s="34">
        <f>SUM(D5:D16)</f>
        <v>8.3999999999999991E-2</v>
      </c>
      <c r="E17" s="269">
        <f t="shared" si="6"/>
        <v>0</v>
      </c>
      <c r="F17" s="268">
        <f t="shared" si="6"/>
        <v>0</v>
      </c>
      <c r="G17" s="34">
        <f t="shared" si="6"/>
        <v>0</v>
      </c>
      <c r="H17" s="293">
        <f t="shared" si="6"/>
        <v>0</v>
      </c>
      <c r="I17" s="55">
        <f>SUM(I5:I16)</f>
        <v>50.56</v>
      </c>
      <c r="J17" s="210">
        <f t="shared" si="6"/>
        <v>50.56</v>
      </c>
      <c r="K17" s="37">
        <f t="shared" si="6"/>
        <v>0</v>
      </c>
      <c r="L17" s="55">
        <f t="shared" si="6"/>
        <v>0</v>
      </c>
      <c r="M17" s="210">
        <f t="shared" si="6"/>
        <v>0</v>
      </c>
      <c r="N17" s="294">
        <f>SUM(N5:N16)</f>
        <v>50.56</v>
      </c>
      <c r="O17" s="295">
        <f t="shared" si="6"/>
        <v>60.660000000000004</v>
      </c>
    </row>
    <row r="25" spans="1:15" x14ac:dyDescent="0.25">
      <c r="B25" s="2" t="s">
        <v>47</v>
      </c>
      <c r="C25" s="2"/>
      <c r="D25" s="1"/>
      <c r="M25" s="19" t="s">
        <v>0</v>
      </c>
    </row>
  </sheetData>
  <mergeCells count="8">
    <mergeCell ref="A2:A4"/>
    <mergeCell ref="B2:O2"/>
    <mergeCell ref="B3:D3"/>
    <mergeCell ref="E3:G3"/>
    <mergeCell ref="H3:J3"/>
    <mergeCell ref="K3:M3"/>
    <mergeCell ref="N3:N4"/>
    <mergeCell ref="O3:O4"/>
  </mergeCells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2CD5-BA07-4838-8D2E-333A4754605B}">
  <sheetPr>
    <pageSetUpPr fitToPage="1"/>
  </sheetPr>
  <dimension ref="A1:M24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1.28515625" customWidth="1"/>
    <col min="2" max="3" width="9" customWidth="1"/>
    <col min="4" max="4" width="8.85546875" bestFit="1" customWidth="1"/>
    <col min="5" max="5" width="9.85546875" bestFit="1" customWidth="1"/>
    <col min="6" max="10" width="11.28515625" bestFit="1" customWidth="1"/>
    <col min="11" max="11" width="9.85546875" customWidth="1"/>
    <col min="12" max="12" width="12.28515625" bestFit="1" customWidth="1"/>
    <col min="13" max="13" width="15.28515625" bestFit="1" customWidth="1"/>
    <col min="14" max="14" width="12.28515625" bestFit="1" customWidth="1"/>
    <col min="15" max="15" width="12" customWidth="1"/>
    <col min="16" max="17" width="14.42578125" customWidth="1"/>
  </cols>
  <sheetData>
    <row r="1" spans="1:12" ht="15.75" thickBot="1" x14ac:dyDescent="0.3"/>
    <row r="2" spans="1:12" ht="31.5" customHeight="1" thickBot="1" x14ac:dyDescent="0.3">
      <c r="A2" s="400" t="s">
        <v>81</v>
      </c>
      <c r="B2" s="419" t="s">
        <v>98</v>
      </c>
      <c r="C2" s="420"/>
      <c r="D2" s="420"/>
      <c r="E2" s="420"/>
      <c r="F2" s="420"/>
      <c r="G2" s="420"/>
      <c r="H2" s="421"/>
    </row>
    <row r="3" spans="1:12" ht="27.75" customHeight="1" thickBot="1" x14ac:dyDescent="0.3">
      <c r="A3" s="401"/>
      <c r="B3" s="416" t="s">
        <v>70</v>
      </c>
      <c r="C3" s="417"/>
      <c r="D3" s="418"/>
      <c r="E3" s="416" t="s">
        <v>71</v>
      </c>
      <c r="F3" s="417"/>
      <c r="G3" s="417"/>
      <c r="H3" s="418"/>
    </row>
    <row r="4" spans="1:12" ht="26.25" thickBot="1" x14ac:dyDescent="0.3">
      <c r="A4" s="402"/>
      <c r="B4" s="273" t="s">
        <v>42</v>
      </c>
      <c r="C4" s="274" t="s">
        <v>2</v>
      </c>
      <c r="D4" s="146" t="s">
        <v>11</v>
      </c>
      <c r="E4" s="273" t="s">
        <v>42</v>
      </c>
      <c r="F4" s="274" t="s">
        <v>2</v>
      </c>
      <c r="G4" s="150" t="s">
        <v>53</v>
      </c>
      <c r="H4" s="151" t="s">
        <v>54</v>
      </c>
    </row>
    <row r="5" spans="1:12" x14ac:dyDescent="0.25">
      <c r="A5" s="252" t="s">
        <v>4</v>
      </c>
      <c r="B5" s="281"/>
      <c r="C5" s="282">
        <v>81.561000000000007</v>
      </c>
      <c r="D5" s="283">
        <f>SUM(B5:C5)</f>
        <v>81.561000000000007</v>
      </c>
      <c r="E5" s="284"/>
      <c r="F5" s="285">
        <v>221765.99</v>
      </c>
      <c r="G5" s="276">
        <f>SUM(E5:F5)</f>
        <v>221765.99</v>
      </c>
      <c r="H5" s="286">
        <f>ROUND(G5*1.2,2)</f>
        <v>266119.19</v>
      </c>
    </row>
    <row r="6" spans="1:12" x14ac:dyDescent="0.25">
      <c r="A6" s="253" t="s">
        <v>5</v>
      </c>
      <c r="B6" s="33"/>
      <c r="C6" s="46">
        <v>81.230999999999995</v>
      </c>
      <c r="D6" s="283">
        <f t="shared" ref="D6:D16" si="0">SUM(B6:C6)</f>
        <v>81.230999999999995</v>
      </c>
      <c r="E6" s="30"/>
      <c r="F6" s="29">
        <v>220868.71</v>
      </c>
      <c r="G6" s="276">
        <f>SUM(E6:F6)</f>
        <v>220868.71</v>
      </c>
      <c r="H6" s="286">
        <f t="shared" ref="H6:H16" si="1">ROUND(G6*1.2,2)</f>
        <v>265042.45</v>
      </c>
    </row>
    <row r="7" spans="1:12" x14ac:dyDescent="0.25">
      <c r="A7" s="253" t="s">
        <v>6</v>
      </c>
      <c r="B7" s="33"/>
      <c r="C7" s="46">
        <v>85.531000000000006</v>
      </c>
      <c r="D7" s="283">
        <f t="shared" si="0"/>
        <v>85.531000000000006</v>
      </c>
      <c r="E7" s="30"/>
      <c r="F7" s="29">
        <v>232560.5</v>
      </c>
      <c r="G7" s="276">
        <f t="shared" ref="G7:G16" si="2">SUM(E7:F7)</f>
        <v>232560.5</v>
      </c>
      <c r="H7" s="286">
        <f t="shared" si="1"/>
        <v>279072.59999999998</v>
      </c>
    </row>
    <row r="8" spans="1:12" x14ac:dyDescent="0.25">
      <c r="A8" s="253" t="s">
        <v>7</v>
      </c>
      <c r="B8" s="33"/>
      <c r="C8" s="46">
        <v>85.111000000000004</v>
      </c>
      <c r="D8" s="283">
        <f t="shared" si="0"/>
        <v>85.111000000000004</v>
      </c>
      <c r="E8" s="30"/>
      <c r="F8" s="29">
        <v>231418.51</v>
      </c>
      <c r="G8" s="276">
        <f t="shared" si="2"/>
        <v>231418.51</v>
      </c>
      <c r="H8" s="286">
        <f t="shared" si="1"/>
        <v>277702.21000000002</v>
      </c>
      <c r="I8" s="2"/>
      <c r="J8" s="2"/>
      <c r="K8" s="2"/>
      <c r="L8" s="1"/>
    </row>
    <row r="9" spans="1:12" x14ac:dyDescent="0.25">
      <c r="A9" s="253" t="s">
        <v>12</v>
      </c>
      <c r="B9" s="33"/>
      <c r="C9" s="46">
        <v>90.415000000000006</v>
      </c>
      <c r="D9" s="283">
        <f t="shared" si="0"/>
        <v>90.415000000000006</v>
      </c>
      <c r="E9" s="30"/>
      <c r="F9" s="29">
        <v>245840.19</v>
      </c>
      <c r="G9" s="276">
        <f t="shared" si="2"/>
        <v>245840.19</v>
      </c>
      <c r="H9" s="286">
        <f t="shared" si="1"/>
        <v>295008.23</v>
      </c>
    </row>
    <row r="10" spans="1:12" ht="15.75" x14ac:dyDescent="0.25">
      <c r="A10" s="253" t="s">
        <v>13</v>
      </c>
      <c r="B10" s="33"/>
      <c r="C10" s="46">
        <v>97.998999999999995</v>
      </c>
      <c r="D10" s="283">
        <f t="shared" si="0"/>
        <v>97.998999999999995</v>
      </c>
      <c r="E10" s="30"/>
      <c r="F10" s="29">
        <v>266461.24</v>
      </c>
      <c r="G10" s="276">
        <f t="shared" si="2"/>
        <v>266461.24</v>
      </c>
      <c r="H10" s="286">
        <f t="shared" si="1"/>
        <v>319753.49</v>
      </c>
      <c r="I10" s="48"/>
      <c r="J10" s="48"/>
      <c r="K10" s="48"/>
    </row>
    <row r="11" spans="1:12" ht="15.75" x14ac:dyDescent="0.25">
      <c r="A11" s="253" t="s">
        <v>14</v>
      </c>
      <c r="B11" s="33"/>
      <c r="C11" s="46">
        <v>105.59</v>
      </c>
      <c r="D11" s="283">
        <f t="shared" si="0"/>
        <v>105.59</v>
      </c>
      <c r="E11" s="30"/>
      <c r="F11" s="29">
        <v>295714.3</v>
      </c>
      <c r="G11" s="276">
        <f t="shared" si="2"/>
        <v>295714.3</v>
      </c>
      <c r="H11" s="286">
        <f t="shared" si="1"/>
        <v>354857.16</v>
      </c>
      <c r="I11" s="48"/>
      <c r="J11" s="48"/>
      <c r="K11" s="48"/>
    </row>
    <row r="12" spans="1:12" ht="15.75" x14ac:dyDescent="0.25">
      <c r="A12" s="253" t="s">
        <v>15</v>
      </c>
      <c r="B12" s="33"/>
      <c r="C12" s="46">
        <v>108.017</v>
      </c>
      <c r="D12" s="283">
        <f t="shared" si="0"/>
        <v>108.017</v>
      </c>
      <c r="E12" s="30"/>
      <c r="F12" s="29">
        <v>302511.33</v>
      </c>
      <c r="G12" s="276">
        <f t="shared" si="2"/>
        <v>302511.33</v>
      </c>
      <c r="H12" s="286">
        <f t="shared" si="1"/>
        <v>363013.6</v>
      </c>
      <c r="I12" s="48"/>
      <c r="J12" s="48"/>
      <c r="K12" s="48"/>
    </row>
    <row r="13" spans="1:12" ht="15.75" x14ac:dyDescent="0.25">
      <c r="A13" s="253" t="s">
        <v>16</v>
      </c>
      <c r="B13" s="33"/>
      <c r="C13" s="46">
        <v>85.936000000000007</v>
      </c>
      <c r="D13" s="283">
        <f t="shared" si="0"/>
        <v>85.936000000000007</v>
      </c>
      <c r="E13" s="30"/>
      <c r="F13" s="29">
        <v>240671.5</v>
      </c>
      <c r="G13" s="276">
        <f t="shared" si="2"/>
        <v>240671.5</v>
      </c>
      <c r="H13" s="286">
        <f t="shared" si="1"/>
        <v>288805.8</v>
      </c>
      <c r="I13" s="48"/>
      <c r="J13" s="48"/>
      <c r="K13" s="48"/>
    </row>
    <row r="14" spans="1:12" x14ac:dyDescent="0.25">
      <c r="A14" s="253" t="s">
        <v>17</v>
      </c>
      <c r="B14" s="33"/>
      <c r="C14" s="46">
        <v>92.912000000000006</v>
      </c>
      <c r="D14" s="283">
        <f t="shared" si="0"/>
        <v>92.912000000000006</v>
      </c>
      <c r="E14" s="30"/>
      <c r="F14" s="29">
        <v>260208.42</v>
      </c>
      <c r="G14" s="276">
        <f t="shared" si="2"/>
        <v>260208.42</v>
      </c>
      <c r="H14" s="286">
        <f t="shared" si="1"/>
        <v>312250.09999999998</v>
      </c>
    </row>
    <row r="15" spans="1:12" x14ac:dyDescent="0.25">
      <c r="A15" s="253" t="s">
        <v>18</v>
      </c>
      <c r="B15" s="33"/>
      <c r="C15" s="46">
        <v>89.007999999999996</v>
      </c>
      <c r="D15" s="283">
        <f t="shared" si="0"/>
        <v>89.007999999999996</v>
      </c>
      <c r="E15" s="30"/>
      <c r="F15" s="29">
        <v>249274.91</v>
      </c>
      <c r="G15" s="276">
        <f t="shared" si="2"/>
        <v>249274.91</v>
      </c>
      <c r="H15" s="286">
        <f t="shared" si="1"/>
        <v>299129.89</v>
      </c>
    </row>
    <row r="16" spans="1:12" ht="15.75" thickBot="1" x14ac:dyDescent="0.3">
      <c r="A16" s="254" t="s">
        <v>19</v>
      </c>
      <c r="B16" s="278"/>
      <c r="C16" s="280">
        <v>95.817999999999998</v>
      </c>
      <c r="D16" s="283">
        <f t="shared" si="0"/>
        <v>95.817999999999998</v>
      </c>
      <c r="E16" s="260"/>
      <c r="F16" s="256">
        <v>268346.93</v>
      </c>
      <c r="G16" s="276">
        <f t="shared" si="2"/>
        <v>268346.93</v>
      </c>
      <c r="H16" s="286">
        <f t="shared" si="1"/>
        <v>322016.32</v>
      </c>
    </row>
    <row r="17" spans="1:13" ht="15.75" thickBot="1" x14ac:dyDescent="0.3">
      <c r="A17" s="277" t="s">
        <v>11</v>
      </c>
      <c r="B17" s="269">
        <f t="shared" ref="B17:H17" si="3">SUM(B5:B16)</f>
        <v>0</v>
      </c>
      <c r="C17" s="268">
        <f t="shared" si="3"/>
        <v>1099.1290000000004</v>
      </c>
      <c r="D17" s="34">
        <f t="shared" si="3"/>
        <v>1099.1290000000004</v>
      </c>
      <c r="E17" s="293">
        <f t="shared" si="3"/>
        <v>0</v>
      </c>
      <c r="F17" s="296">
        <f t="shared" si="3"/>
        <v>3035642.5300000003</v>
      </c>
      <c r="G17" s="55">
        <f t="shared" si="3"/>
        <v>3035642.5300000003</v>
      </c>
      <c r="H17" s="295">
        <f t="shared" si="3"/>
        <v>3642771.0399999996</v>
      </c>
    </row>
    <row r="24" spans="1:13" x14ac:dyDescent="0.25">
      <c r="B24" s="2" t="s">
        <v>47</v>
      </c>
      <c r="C24" s="2"/>
      <c r="D24" s="1"/>
      <c r="M24" s="19" t="s">
        <v>0</v>
      </c>
    </row>
  </sheetData>
  <mergeCells count="4">
    <mergeCell ref="A2:A4"/>
    <mergeCell ref="B2:H2"/>
    <mergeCell ref="B3:D3"/>
    <mergeCell ref="E3:H3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3294-3BF4-476B-906A-52D4C564AA79}">
  <sheetPr>
    <pageSetUpPr fitToPage="1"/>
  </sheetPr>
  <dimension ref="A1:M24"/>
  <sheetViews>
    <sheetView view="pageBreakPreview" zoomScaleNormal="100" zoomScaleSheetLayoutView="100" workbookViewId="0">
      <selection activeCell="M28" sqref="M28"/>
    </sheetView>
  </sheetViews>
  <sheetFormatPr defaultRowHeight="15" x14ac:dyDescent="0.25"/>
  <cols>
    <col min="1" max="1" width="11.28515625" customWidth="1"/>
    <col min="2" max="3" width="9" customWidth="1"/>
    <col min="4" max="4" width="8.85546875" bestFit="1" customWidth="1"/>
    <col min="5" max="5" width="12.28515625" bestFit="1" customWidth="1"/>
    <col min="6" max="6" width="9.85546875" bestFit="1" customWidth="1"/>
    <col min="7" max="8" width="12.28515625" bestFit="1" customWidth="1"/>
    <col min="9" max="10" width="11.28515625" bestFit="1" customWidth="1"/>
    <col min="11" max="11" width="9.85546875" customWidth="1"/>
    <col min="12" max="12" width="12.28515625" bestFit="1" customWidth="1"/>
    <col min="13" max="13" width="15.28515625" bestFit="1" customWidth="1"/>
    <col min="14" max="14" width="12.28515625" bestFit="1" customWidth="1"/>
    <col min="15" max="15" width="12" customWidth="1"/>
    <col min="16" max="17" width="14.42578125" customWidth="1"/>
  </cols>
  <sheetData>
    <row r="1" spans="1:12" ht="15.75" thickBot="1" x14ac:dyDescent="0.3"/>
    <row r="2" spans="1:12" ht="31.5" customHeight="1" thickBot="1" x14ac:dyDescent="0.3">
      <c r="A2" s="400" t="s">
        <v>81</v>
      </c>
      <c r="B2" s="419" t="s">
        <v>99</v>
      </c>
      <c r="C2" s="420"/>
      <c r="D2" s="420"/>
      <c r="E2" s="420"/>
      <c r="F2" s="420"/>
      <c r="G2" s="420"/>
      <c r="H2" s="421"/>
    </row>
    <row r="3" spans="1:12" ht="27.75" customHeight="1" thickBot="1" x14ac:dyDescent="0.3">
      <c r="A3" s="401"/>
      <c r="B3" s="416" t="s">
        <v>70</v>
      </c>
      <c r="C3" s="417"/>
      <c r="D3" s="418"/>
      <c r="E3" s="416" t="s">
        <v>71</v>
      </c>
      <c r="F3" s="417"/>
      <c r="G3" s="417"/>
      <c r="H3" s="418"/>
    </row>
    <row r="4" spans="1:12" ht="26.25" thickBot="1" x14ac:dyDescent="0.3">
      <c r="A4" s="402"/>
      <c r="B4" s="273" t="s">
        <v>42</v>
      </c>
      <c r="C4" s="274" t="s">
        <v>2</v>
      </c>
      <c r="D4" s="146" t="s">
        <v>11</v>
      </c>
      <c r="E4" s="273" t="s">
        <v>42</v>
      </c>
      <c r="F4" s="274" t="s">
        <v>2</v>
      </c>
      <c r="G4" s="150" t="s">
        <v>53</v>
      </c>
      <c r="H4" s="151" t="s">
        <v>54</v>
      </c>
    </row>
    <row r="5" spans="1:12" x14ac:dyDescent="0.25">
      <c r="A5" s="252" t="s">
        <v>4</v>
      </c>
      <c r="B5" s="281"/>
      <c r="C5" s="282"/>
      <c r="D5" s="283">
        <f>SUM(B5:C5)</f>
        <v>0</v>
      </c>
      <c r="E5" s="284"/>
      <c r="F5" s="285"/>
      <c r="G5" s="276">
        <f>SUM(E5:F5)</f>
        <v>0</v>
      </c>
      <c r="H5" s="286">
        <f>ROUND(G5*1.2,2)</f>
        <v>0</v>
      </c>
    </row>
    <row r="6" spans="1:12" x14ac:dyDescent="0.25">
      <c r="A6" s="253" t="s">
        <v>5</v>
      </c>
      <c r="B6" s="33"/>
      <c r="C6" s="46"/>
      <c r="D6" s="283">
        <f t="shared" ref="D6:D16" si="0">SUM(B6:C6)</f>
        <v>0</v>
      </c>
      <c r="E6" s="30"/>
      <c r="F6" s="29"/>
      <c r="G6" s="276">
        <f>SUM(E6:F6)</f>
        <v>0</v>
      </c>
      <c r="H6" s="286">
        <f t="shared" ref="H6:H16" si="1">ROUND(G6*1.2,2)</f>
        <v>0</v>
      </c>
    </row>
    <row r="7" spans="1:12" x14ac:dyDescent="0.25">
      <c r="A7" s="253" t="s">
        <v>6</v>
      </c>
      <c r="B7" s="33">
        <v>975.673</v>
      </c>
      <c r="C7" s="46"/>
      <c r="D7" s="283">
        <f t="shared" si="0"/>
        <v>975.673</v>
      </c>
      <c r="E7" s="30">
        <v>1187384.28</v>
      </c>
      <c r="F7" s="29"/>
      <c r="G7" s="276">
        <f t="shared" ref="G7:G16" si="2">SUM(E7:F7)</f>
        <v>1187384.28</v>
      </c>
      <c r="H7" s="286">
        <f t="shared" si="1"/>
        <v>1424861.14</v>
      </c>
    </row>
    <row r="8" spans="1:12" x14ac:dyDescent="0.25">
      <c r="A8" s="253" t="s">
        <v>7</v>
      </c>
      <c r="B8" s="33">
        <v>847.21500000000003</v>
      </c>
      <c r="C8" s="46"/>
      <c r="D8" s="283">
        <f t="shared" si="0"/>
        <v>847.21500000000003</v>
      </c>
      <c r="E8" s="30">
        <v>1031052.18</v>
      </c>
      <c r="F8" s="29"/>
      <c r="G8" s="276">
        <f t="shared" si="2"/>
        <v>1031052.18</v>
      </c>
      <c r="H8" s="286">
        <f t="shared" si="1"/>
        <v>1237262.6200000001</v>
      </c>
      <c r="I8" s="2"/>
      <c r="J8" s="2"/>
      <c r="K8" s="2"/>
      <c r="L8" s="1"/>
    </row>
    <row r="9" spans="1:12" x14ac:dyDescent="0.25">
      <c r="A9" s="253" t="s">
        <v>12</v>
      </c>
      <c r="B9" s="33">
        <v>824.303</v>
      </c>
      <c r="C9" s="46"/>
      <c r="D9" s="283">
        <f t="shared" si="0"/>
        <v>824.303</v>
      </c>
      <c r="E9" s="30">
        <v>1003168.51</v>
      </c>
      <c r="F9" s="29"/>
      <c r="G9" s="276">
        <f t="shared" si="2"/>
        <v>1003168.51</v>
      </c>
      <c r="H9" s="286">
        <f t="shared" si="1"/>
        <v>1203802.21</v>
      </c>
    </row>
    <row r="10" spans="1:12" ht="15.75" x14ac:dyDescent="0.25">
      <c r="A10" s="253" t="s">
        <v>13</v>
      </c>
      <c r="B10" s="33">
        <v>764.36699999999996</v>
      </c>
      <c r="C10" s="46"/>
      <c r="D10" s="283">
        <f t="shared" si="0"/>
        <v>764.36699999999996</v>
      </c>
      <c r="E10" s="30">
        <v>930227</v>
      </c>
      <c r="F10" s="29"/>
      <c r="G10" s="276">
        <f t="shared" si="2"/>
        <v>930227</v>
      </c>
      <c r="H10" s="286">
        <f t="shared" si="1"/>
        <v>1116272.3999999999</v>
      </c>
      <c r="I10" s="48"/>
      <c r="J10" s="48"/>
      <c r="K10" s="48"/>
    </row>
    <row r="11" spans="1:12" ht="15.75" x14ac:dyDescent="0.25">
      <c r="A11" s="253" t="s">
        <v>14</v>
      </c>
      <c r="B11" s="33">
        <v>770.00400000000002</v>
      </c>
      <c r="C11" s="46"/>
      <c r="D11" s="283">
        <f t="shared" si="0"/>
        <v>770.00400000000002</v>
      </c>
      <c r="E11" s="30">
        <v>1124506.1399999999</v>
      </c>
      <c r="F11" s="29"/>
      <c r="G11" s="276">
        <f t="shared" si="2"/>
        <v>1124506.1399999999</v>
      </c>
      <c r="H11" s="286">
        <f t="shared" si="1"/>
        <v>1349407.37</v>
      </c>
      <c r="I11" s="48"/>
      <c r="J11" s="48"/>
      <c r="K11" s="48"/>
    </row>
    <row r="12" spans="1:12" ht="15.75" x14ac:dyDescent="0.25">
      <c r="A12" s="253" t="s">
        <v>15</v>
      </c>
      <c r="B12" s="33">
        <v>673.64499999999998</v>
      </c>
      <c r="C12" s="46"/>
      <c r="D12" s="283">
        <f t="shared" si="0"/>
        <v>673.64499999999998</v>
      </c>
      <c r="E12" s="30">
        <v>983784.42</v>
      </c>
      <c r="F12" s="29"/>
      <c r="G12" s="276">
        <f t="shared" si="2"/>
        <v>983784.42</v>
      </c>
      <c r="H12" s="286">
        <f t="shared" si="1"/>
        <v>1180541.3</v>
      </c>
      <c r="I12" s="48"/>
      <c r="J12" s="48"/>
      <c r="K12" s="48"/>
    </row>
    <row r="13" spans="1:12" ht="15.75" x14ac:dyDescent="0.25">
      <c r="A13" s="253" t="s">
        <v>16</v>
      </c>
      <c r="B13" s="33">
        <v>667.69100000000003</v>
      </c>
      <c r="C13" s="46"/>
      <c r="D13" s="283">
        <f t="shared" si="0"/>
        <v>667.69100000000003</v>
      </c>
      <c r="E13" s="30">
        <v>975089.26</v>
      </c>
      <c r="F13" s="29"/>
      <c r="G13" s="276">
        <f t="shared" si="2"/>
        <v>975089.26</v>
      </c>
      <c r="H13" s="286">
        <f t="shared" si="1"/>
        <v>1170107.1100000001</v>
      </c>
      <c r="I13" s="48"/>
      <c r="J13" s="48"/>
      <c r="K13" s="48"/>
    </row>
    <row r="14" spans="1:12" x14ac:dyDescent="0.25">
      <c r="A14" s="253" t="s">
        <v>17</v>
      </c>
      <c r="B14" s="33">
        <v>750.67899999999997</v>
      </c>
      <c r="C14" s="46"/>
      <c r="D14" s="283">
        <f t="shared" si="0"/>
        <v>750.67899999999997</v>
      </c>
      <c r="E14" s="30">
        <v>1096284.1000000001</v>
      </c>
      <c r="F14" s="29"/>
      <c r="G14" s="276">
        <f t="shared" si="2"/>
        <v>1096284.1000000001</v>
      </c>
      <c r="H14" s="286">
        <f t="shared" si="1"/>
        <v>1315540.92</v>
      </c>
    </row>
    <row r="15" spans="1:12" x14ac:dyDescent="0.25">
      <c r="A15" s="253" t="s">
        <v>18</v>
      </c>
      <c r="B15" s="33">
        <v>791.85400000000004</v>
      </c>
      <c r="C15" s="46"/>
      <c r="D15" s="283">
        <f t="shared" si="0"/>
        <v>791.85400000000004</v>
      </c>
      <c r="E15" s="30">
        <v>1156415.6599999999</v>
      </c>
      <c r="F15" s="29"/>
      <c r="G15" s="276">
        <f t="shared" si="2"/>
        <v>1156415.6599999999</v>
      </c>
      <c r="H15" s="286">
        <f t="shared" si="1"/>
        <v>1387698.79</v>
      </c>
    </row>
    <row r="16" spans="1:12" ht="15.75" thickBot="1" x14ac:dyDescent="0.3">
      <c r="A16" s="254" t="s">
        <v>19</v>
      </c>
      <c r="B16" s="278">
        <v>854.91600000000005</v>
      </c>
      <c r="C16" s="280"/>
      <c r="D16" s="283">
        <f t="shared" si="0"/>
        <v>854.91600000000005</v>
      </c>
      <c r="E16" s="260">
        <v>1248510.78</v>
      </c>
      <c r="F16" s="256"/>
      <c r="G16" s="276">
        <f t="shared" si="2"/>
        <v>1248510.78</v>
      </c>
      <c r="H16" s="286">
        <f t="shared" si="1"/>
        <v>1498212.94</v>
      </c>
    </row>
    <row r="17" spans="1:13" ht="15.75" thickBot="1" x14ac:dyDescent="0.3">
      <c r="A17" s="277" t="s">
        <v>11</v>
      </c>
      <c r="B17" s="269">
        <f t="shared" ref="B17:H17" si="3">SUM(B5:B16)</f>
        <v>7920.3470000000007</v>
      </c>
      <c r="C17" s="268">
        <f t="shared" si="3"/>
        <v>0</v>
      </c>
      <c r="D17" s="34">
        <f t="shared" si="3"/>
        <v>7920.3470000000007</v>
      </c>
      <c r="E17" s="293">
        <f t="shared" si="3"/>
        <v>10736422.329999998</v>
      </c>
      <c r="F17" s="296">
        <f t="shared" si="3"/>
        <v>0</v>
      </c>
      <c r="G17" s="55">
        <f t="shared" si="3"/>
        <v>10736422.329999998</v>
      </c>
      <c r="H17" s="295">
        <f t="shared" si="3"/>
        <v>12883706.799999999</v>
      </c>
    </row>
    <row r="24" spans="1:13" x14ac:dyDescent="0.25">
      <c r="B24" s="2" t="s">
        <v>47</v>
      </c>
      <c r="C24" s="2"/>
      <c r="D24" s="1"/>
      <c r="M24" s="19" t="s">
        <v>0</v>
      </c>
    </row>
  </sheetData>
  <mergeCells count="4">
    <mergeCell ref="A2:A4"/>
    <mergeCell ref="B2:H2"/>
    <mergeCell ref="B3:D3"/>
    <mergeCell ref="E3:H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КЭС</vt:lpstr>
      <vt:lpstr>Потери</vt:lpstr>
      <vt:lpstr>ТСО Красноярск</vt:lpstr>
      <vt:lpstr>РСК сбыт</vt:lpstr>
      <vt:lpstr>ПрофСервисТрейд</vt:lpstr>
      <vt:lpstr>Главэнергосбыт</vt:lpstr>
      <vt:lpstr>Мосэнергосбыт</vt:lpstr>
      <vt:lpstr>КрасКом</vt:lpstr>
      <vt:lpstr>МагнитЭнерго</vt:lpstr>
      <vt:lpstr>Промэнергосбыт</vt:lpstr>
      <vt:lpstr>Главэнергосбыт!Область_печати</vt:lpstr>
      <vt:lpstr>КрасКом!Область_печати</vt:lpstr>
      <vt:lpstr>КЭС!Область_печати</vt:lpstr>
      <vt:lpstr>МагнитЭнерго!Область_печати</vt:lpstr>
      <vt:lpstr>Мосэнергосбыт!Область_печати</vt:lpstr>
      <vt:lpstr>Потери!Область_печати</vt:lpstr>
      <vt:lpstr>Промэнергосбыт!Область_печати</vt:lpstr>
      <vt:lpstr>ПрофСервисТрейд!Область_печати</vt:lpstr>
      <vt:lpstr>'РСК сбыт'!Область_печати</vt:lpstr>
      <vt:lpstr>'ТСО Красноярск'!Область_печати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Кизилова</dc:creator>
  <cp:lastModifiedBy>Aland</cp:lastModifiedBy>
  <cp:lastPrinted>2025-02-17T09:17:40Z</cp:lastPrinted>
  <dcterms:created xsi:type="dcterms:W3CDTF">2012-05-14T03:12:47Z</dcterms:created>
  <dcterms:modified xsi:type="dcterms:W3CDTF">2025-07-15T08:58:29Z</dcterms:modified>
</cp:coreProperties>
</file>